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codeName="ThisWorkbook"/>
  <mc:AlternateContent xmlns:mc="http://schemas.openxmlformats.org/markup-compatibility/2006">
    <mc:Choice Requires="x15">
      <x15ac:absPath xmlns:x15ac="http://schemas.microsoft.com/office/spreadsheetml/2010/11/ac" url="https://ifipassofr-my.sharepoint.com/personal/pascal_levasseur_ifip_asso_fr/Documents/expé 2019/ABilE/Action 2/OAD/"/>
    </mc:Choice>
  </mc:AlternateContent>
  <xr:revisionPtr revIDLastSave="177" documentId="8_{A7F006DC-97D0-4CE4-A039-5E9F724E2F75}" xr6:coauthVersionLast="47" xr6:coauthVersionMax="47" xr10:uidLastSave="{AB512CBC-97F8-45B3-9AAD-121E7DA4FC7C}"/>
  <bookViews>
    <workbookView showSheetTabs="0" xWindow="57480" yWindow="-120" windowWidth="29040" windowHeight="15840" tabRatio="598" xr2:uid="{00000000-000D-0000-FFFF-FFFF00000000}"/>
  </bookViews>
  <sheets>
    <sheet name="OAD coût CO2 épargné" sheetId="72" r:id="rId1"/>
    <sheet name="Calcul simpl volaille" sheetId="71" r:id="rId2"/>
    <sheet name="Calcul simpl bovin" sheetId="70" r:id="rId3"/>
    <sheet name=" Calcul simpl porc" sheetId="69" r:id="rId4"/>
    <sheet name="Données environnement" sheetId="7" r:id="rId5"/>
    <sheet name="Données Production " sheetId="6" r:id="rId6"/>
  </sheets>
  <externalReferences>
    <externalReference r:id="rId7"/>
  </externalReferences>
  <definedNames>
    <definedName name="B0">'Données environnement'!$E$21</definedName>
    <definedName name="Fosse_non_couvertePré_stockage_lisier_sous_caillebotis">'OAD coût CO2 épargné'!$BJ$51:$BJ$53</definedName>
    <definedName name="Pré_stockage_lisier_sous_caillebotis">'OAD coût CO2 épargné'!$BJ$51:$BJ$53</definedName>
    <definedName name="Raclage_à_plat_quotidien">'OAD coût CO2 épargné'!$BJ$52:$BJ$53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2" i="69" l="1"/>
  <c r="AB9" i="69"/>
  <c r="AB13" i="69"/>
  <c r="B30" i="6"/>
  <c r="B29" i="6"/>
  <c r="N19" i="72" l="1"/>
  <c r="AY34" i="70" l="1"/>
  <c r="AY32" i="70"/>
  <c r="AY30" i="70"/>
  <c r="AY21" i="70"/>
  <c r="AY19" i="70"/>
  <c r="AY17" i="70"/>
  <c r="BD17" i="72"/>
  <c r="BG17" i="72" s="1"/>
  <c r="BD16" i="72"/>
  <c r="BG16" i="72" s="1"/>
  <c r="BD15" i="72"/>
  <c r="BG15" i="72" s="1"/>
  <c r="BG14" i="72"/>
  <c r="BD13" i="72"/>
  <c r="BG13" i="72" s="1"/>
  <c r="BD12" i="72"/>
  <c r="BG12" i="72" s="1"/>
  <c r="BD11" i="72"/>
  <c r="BG11" i="72" s="1"/>
  <c r="BG10" i="72"/>
  <c r="BD9" i="72"/>
  <c r="BG9" i="72" s="1"/>
  <c r="AU12" i="70"/>
  <c r="BD24" i="72" l="1"/>
  <c r="BG24" i="72" s="1"/>
  <c r="BD23" i="72"/>
  <c r="BG23" i="72" s="1"/>
  <c r="N31" i="72"/>
  <c r="AS12" i="70" l="1"/>
  <c r="AP33" i="70"/>
  <c r="AP31" i="70"/>
  <c r="AP28" i="70"/>
  <c r="AP25" i="70"/>
  <c r="AP22" i="70"/>
  <c r="AP20" i="70"/>
  <c r="AP18" i="70"/>
  <c r="AP15" i="70"/>
  <c r="AP12" i="70"/>
  <c r="AU18" i="70" l="1"/>
  <c r="AU25" i="70"/>
  <c r="AU31" i="70"/>
  <c r="AU33" i="70"/>
  <c r="AU20" i="70"/>
  <c r="AU22" i="70"/>
  <c r="AU28" i="70"/>
  <c r="AU15" i="70"/>
  <c r="K15" i="69"/>
  <c r="G20" i="69"/>
  <c r="K20" i="69" s="1"/>
  <c r="G15" i="69"/>
  <c r="G10" i="69"/>
  <c r="K10" i="69" s="1"/>
  <c r="H15" i="69"/>
  <c r="H10" i="69"/>
  <c r="E20" i="69"/>
  <c r="H20" i="69" s="1"/>
  <c r="E15" i="69"/>
  <c r="E10" i="69"/>
  <c r="I20" i="69"/>
  <c r="I15" i="69"/>
  <c r="I10" i="69"/>
  <c r="AB20" i="69"/>
  <c r="AB15" i="69"/>
  <c r="AB10" i="69"/>
  <c r="BD19" i="72" l="1"/>
  <c r="BG19" i="72" s="1"/>
  <c r="BD25" i="72"/>
  <c r="BD26" i="72"/>
  <c r="BG26" i="72" s="1"/>
  <c r="BD21" i="72"/>
  <c r="BG21" i="72" s="1"/>
  <c r="BD20" i="72"/>
  <c r="BG20" i="72" s="1"/>
  <c r="J47" i="7"/>
  <c r="J48" i="7"/>
  <c r="BD28" i="72" l="1"/>
  <c r="BG25" i="72"/>
  <c r="BG28" i="72" s="1"/>
  <c r="BG29" i="72" s="1"/>
  <c r="N14" i="72" l="1"/>
  <c r="N17" i="72"/>
  <c r="N12" i="72"/>
  <c r="N13" i="72" s="1"/>
  <c r="N10" i="72"/>
  <c r="N9" i="72"/>
  <c r="AB11" i="69"/>
  <c r="AB14" i="69"/>
  <c r="AB16" i="69"/>
  <c r="AB17" i="69"/>
  <c r="AB18" i="69"/>
  <c r="AB19" i="69"/>
  <c r="AB21" i="69"/>
  <c r="AB22" i="69"/>
  <c r="I16" i="71" l="1"/>
  <c r="I13" i="71"/>
  <c r="I10" i="71"/>
  <c r="I8" i="71"/>
  <c r="O15" i="71" l="1"/>
  <c r="Y15" i="71" s="1"/>
  <c r="O16" i="71"/>
  <c r="Y16" i="71" s="1"/>
  <c r="O14" i="71"/>
  <c r="O12" i="71"/>
  <c r="Y12" i="71" s="1"/>
  <c r="O13" i="71"/>
  <c r="Y13" i="71" s="1"/>
  <c r="O11" i="71"/>
  <c r="O10" i="71"/>
  <c r="Y10" i="71" s="1"/>
  <c r="O9" i="71"/>
  <c r="O8" i="71"/>
  <c r="O7" i="71"/>
  <c r="T7" i="71" l="1"/>
  <c r="T9" i="71"/>
  <c r="T11" i="71"/>
  <c r="T12" i="71"/>
  <c r="T14" i="71"/>
  <c r="T15" i="71"/>
  <c r="G19" i="69" l="1"/>
  <c r="G21" i="69"/>
  <c r="G22" i="69"/>
  <c r="G18" i="69"/>
  <c r="G14" i="69"/>
  <c r="G16" i="69"/>
  <c r="G17" i="69"/>
  <c r="G13" i="69"/>
  <c r="G9" i="69"/>
  <c r="G11" i="69"/>
  <c r="G12" i="69"/>
  <c r="G8" i="69"/>
  <c r="F293" i="7"/>
  <c r="D292" i="7"/>
  <c r="E19" i="69"/>
  <c r="H19" i="69" s="1"/>
  <c r="E21" i="69"/>
  <c r="E22" i="69"/>
  <c r="E18" i="69"/>
  <c r="H18" i="69" s="1"/>
  <c r="E14" i="69"/>
  <c r="H14" i="69" s="1"/>
  <c r="E16" i="69"/>
  <c r="E17" i="69"/>
  <c r="E13" i="69"/>
  <c r="H13" i="69" s="1"/>
  <c r="E9" i="69"/>
  <c r="H9" i="69" s="1"/>
  <c r="E11" i="69"/>
  <c r="E12" i="69"/>
  <c r="E8" i="69"/>
  <c r="H8" i="69" s="1"/>
  <c r="I11" i="69"/>
  <c r="I12" i="69"/>
  <c r="I22" i="69" l="1"/>
  <c r="J22" i="69" s="1"/>
  <c r="I17" i="69"/>
  <c r="J17" i="69" s="1"/>
  <c r="K8" i="69"/>
  <c r="I8" i="69"/>
  <c r="J12" i="69"/>
  <c r="K21" i="69"/>
  <c r="K22" i="69"/>
  <c r="K13" i="69"/>
  <c r="K12" i="69"/>
  <c r="K11" i="69"/>
  <c r="K9" i="69"/>
  <c r="K17" i="69"/>
  <c r="K16" i="69"/>
  <c r="I14" i="69"/>
  <c r="J14" i="69" s="1"/>
  <c r="K19" i="69"/>
  <c r="I9" i="69"/>
  <c r="I19" i="69"/>
  <c r="J19" i="69" s="1"/>
  <c r="K14" i="69"/>
  <c r="K18" i="69"/>
  <c r="J9" i="69" l="1"/>
  <c r="L9" i="69"/>
  <c r="L11" i="69"/>
  <c r="O12" i="69"/>
  <c r="T12" i="69" s="1"/>
  <c r="L19" i="69"/>
  <c r="AA18" i="69" s="1"/>
  <c r="O16" i="69"/>
  <c r="J8" i="69"/>
  <c r="L14" i="69"/>
  <c r="O17" i="69"/>
  <c r="T17" i="69" s="1"/>
  <c r="O13" i="69"/>
  <c r="AD13" i="69" s="1"/>
  <c r="O22" i="69"/>
  <c r="AD22" i="69" s="1"/>
  <c r="L21" i="69"/>
  <c r="L8" i="69"/>
  <c r="L12" i="69"/>
  <c r="O11" i="69"/>
  <c r="O19" i="69"/>
  <c r="O20" i="69" s="1"/>
  <c r="AD20" i="69" s="1"/>
  <c r="N19" i="69"/>
  <c r="N20" i="69" s="1"/>
  <c r="L22" i="69"/>
  <c r="O9" i="69"/>
  <c r="O18" i="69"/>
  <c r="AD18" i="69" s="1"/>
  <c r="O21" i="69"/>
  <c r="N22" i="69"/>
  <c r="N14" i="69"/>
  <c r="N12" i="69"/>
  <c r="L13" i="69"/>
  <c r="AA13" i="69" s="1"/>
  <c r="N9" i="69"/>
  <c r="N10" i="69" s="1"/>
  <c r="L16" i="69"/>
  <c r="L18" i="69"/>
  <c r="L17" i="69"/>
  <c r="N17" i="69"/>
  <c r="O14" i="69"/>
  <c r="O15" i="69" s="1"/>
  <c r="AD15" i="69" s="1"/>
  <c r="AG18" i="69" l="1"/>
  <c r="AI18" i="69"/>
  <c r="AG13" i="69"/>
  <c r="AI13" i="69"/>
  <c r="AM13" i="69"/>
  <c r="AM18" i="69"/>
  <c r="AA20" i="69"/>
  <c r="AA15" i="69"/>
  <c r="T10" i="69"/>
  <c r="AL10" i="69" s="1"/>
  <c r="O10" i="69"/>
  <c r="AD10" i="69" s="1"/>
  <c r="Q15" i="69"/>
  <c r="N15" i="69"/>
  <c r="T15" i="69"/>
  <c r="AL15" i="69" s="1"/>
  <c r="T14" i="69"/>
  <c r="T11" i="69"/>
  <c r="Q9" i="69"/>
  <c r="Q10" i="69"/>
  <c r="Q14" i="69"/>
  <c r="Q19" i="69"/>
  <c r="Q20" i="69"/>
  <c r="T19" i="69"/>
  <c r="T20" i="69"/>
  <c r="AL20" i="69" s="1"/>
  <c r="T22" i="69"/>
  <c r="AD16" i="69"/>
  <c r="AD17" i="69"/>
  <c r="AA8" i="69"/>
  <c r="T16" i="69"/>
  <c r="AD12" i="69"/>
  <c r="AE12" i="69" s="1"/>
  <c r="AL12" i="69" s="1"/>
  <c r="AD21" i="69"/>
  <c r="T21" i="69"/>
  <c r="AD11" i="69"/>
  <c r="Q17" i="69"/>
  <c r="Q22" i="69"/>
  <c r="T9" i="69"/>
  <c r="AD9" i="69"/>
  <c r="AA9" i="69" s="1"/>
  <c r="AE22" i="69"/>
  <c r="AA22" i="69"/>
  <c r="AD19" i="69"/>
  <c r="Q12" i="69"/>
  <c r="AD14" i="69"/>
  <c r="AA17" i="69"/>
  <c r="AE17" i="69"/>
  <c r="AL17" i="69" s="1"/>
  <c r="AQ12" i="70"/>
  <c r="M13" i="70"/>
  <c r="K14" i="70"/>
  <c r="K13" i="70"/>
  <c r="K19" i="70"/>
  <c r="K18" i="70"/>
  <c r="K17" i="70"/>
  <c r="K16" i="70"/>
  <c r="K15" i="70"/>
  <c r="K12" i="70"/>
  <c r="J14" i="70"/>
  <c r="J13" i="70"/>
  <c r="J12" i="70"/>
  <c r="J15" i="70"/>
  <c r="J18" i="70"/>
  <c r="P12" i="70"/>
  <c r="AG17" i="69" l="1"/>
  <c r="AM17" i="69" s="1"/>
  <c r="AI17" i="69"/>
  <c r="AG15" i="69"/>
  <c r="AI15" i="69"/>
  <c r="AG20" i="69"/>
  <c r="AI20" i="69"/>
  <c r="AG9" i="69"/>
  <c r="AI9" i="69" s="1"/>
  <c r="AM9" i="69" s="1"/>
  <c r="AG22" i="69"/>
  <c r="AL22" i="69"/>
  <c r="AA10" i="69"/>
  <c r="AA16" i="69"/>
  <c r="AE16" i="69"/>
  <c r="R15" i="69"/>
  <c r="S15" i="69" s="1"/>
  <c r="Y15" i="69" s="1"/>
  <c r="R20" i="69"/>
  <c r="S20" i="69" s="1"/>
  <c r="R10" i="69"/>
  <c r="S10" i="69" s="1"/>
  <c r="Y10" i="69" s="1"/>
  <c r="AL16" i="69"/>
  <c r="AA12" i="69"/>
  <c r="AG8" i="69"/>
  <c r="AI8" i="69" s="1"/>
  <c r="AG16" i="69"/>
  <c r="AA19" i="69"/>
  <c r="R12" i="69"/>
  <c r="AC12" i="69" s="1"/>
  <c r="AF12" i="69" s="1"/>
  <c r="AA11" i="69"/>
  <c r="R14" i="69"/>
  <c r="AC14" i="69" s="1"/>
  <c r="AF14" i="69" s="1"/>
  <c r="R9" i="69"/>
  <c r="S9" i="69" s="1"/>
  <c r="Y9" i="69" s="1"/>
  <c r="AA14" i="69"/>
  <c r="AE21" i="69"/>
  <c r="AA21" i="69"/>
  <c r="R17" i="69"/>
  <c r="AC17" i="69" s="1"/>
  <c r="AF17" i="69" s="1"/>
  <c r="R19" i="69"/>
  <c r="AC19" i="69" s="1"/>
  <c r="AF19" i="69" s="1"/>
  <c r="R22" i="69"/>
  <c r="AC22" i="69" s="1"/>
  <c r="AF22" i="69" s="1"/>
  <c r="L14" i="70"/>
  <c r="AG19" i="69" l="1"/>
  <c r="AI19" i="69"/>
  <c r="AM20" i="69"/>
  <c r="AG14" i="69"/>
  <c r="AI14" i="69"/>
  <c r="AM14" i="69" s="1"/>
  <c r="AI22" i="69"/>
  <c r="AM22" i="69" s="1"/>
  <c r="AI16" i="69"/>
  <c r="AM16" i="69" s="1"/>
  <c r="AM15" i="69"/>
  <c r="AI11" i="69"/>
  <c r="AG10" i="69"/>
  <c r="AI10" i="69" s="1"/>
  <c r="AG12" i="69"/>
  <c r="AI12" i="69"/>
  <c r="AM8" i="69"/>
  <c r="AM19" i="69"/>
  <c r="AM12" i="69"/>
  <c r="AC15" i="69"/>
  <c r="AF15" i="69" s="1"/>
  <c r="AC10" i="69"/>
  <c r="AF10" i="69" s="1"/>
  <c r="AC20" i="69"/>
  <c r="AF20" i="69" s="1"/>
  <c r="U15" i="69"/>
  <c r="Y20" i="69"/>
  <c r="U20" i="69"/>
  <c r="U10" i="69"/>
  <c r="AG21" i="69"/>
  <c r="AI21" i="69" s="1"/>
  <c r="AL21" i="69"/>
  <c r="AG11" i="69"/>
  <c r="S17" i="69"/>
  <c r="Y17" i="69" s="1"/>
  <c r="AC9" i="69"/>
  <c r="AF9" i="69" s="1"/>
  <c r="S19" i="69"/>
  <c r="S14" i="69"/>
  <c r="U9" i="69"/>
  <c r="S22" i="69"/>
  <c r="S12" i="69"/>
  <c r="I15" i="71"/>
  <c r="BA15" i="71" s="1"/>
  <c r="I14" i="71"/>
  <c r="I12" i="71"/>
  <c r="BA12" i="71" s="1"/>
  <c r="I11" i="71"/>
  <c r="BA11" i="71" s="1"/>
  <c r="I9" i="71"/>
  <c r="BA9" i="71" s="1"/>
  <c r="AM10" i="69" l="1"/>
  <c r="AM21" i="69"/>
  <c r="AK20" i="69"/>
  <c r="AN20" i="69" s="1"/>
  <c r="AK15" i="69"/>
  <c r="AN15" i="69" s="1"/>
  <c r="AK10" i="69"/>
  <c r="AK9" i="69"/>
  <c r="U17" i="69"/>
  <c r="AK17" i="69" s="1"/>
  <c r="AN17" i="69" s="1"/>
  <c r="Y12" i="69"/>
  <c r="U12" i="69"/>
  <c r="Y14" i="69"/>
  <c r="U14" i="69"/>
  <c r="Y19" i="69"/>
  <c r="U19" i="69"/>
  <c r="Y22" i="69"/>
  <c r="U22" i="69"/>
  <c r="G7" i="71"/>
  <c r="AN10" i="69" l="1"/>
  <c r="AM11" i="69"/>
  <c r="AK14" i="69"/>
  <c r="AK12" i="69"/>
  <c r="AN12" i="69" s="1"/>
  <c r="AK19" i="69"/>
  <c r="AK22" i="69"/>
  <c r="AN22" i="69" s="1"/>
  <c r="K16" i="71"/>
  <c r="G16" i="71"/>
  <c r="J16" i="71" s="1"/>
  <c r="F16" i="71"/>
  <c r="N16" i="71" s="1"/>
  <c r="W16" i="71" s="1"/>
  <c r="E16" i="71"/>
  <c r="H16" i="71" s="1"/>
  <c r="D16" i="71"/>
  <c r="AV15" i="71"/>
  <c r="G15" i="71"/>
  <c r="J15" i="71" s="1"/>
  <c r="F15" i="71"/>
  <c r="N15" i="71" s="1"/>
  <c r="W15" i="71" s="1"/>
  <c r="E15" i="71"/>
  <c r="D15" i="71"/>
  <c r="AV14" i="71"/>
  <c r="S14" i="71"/>
  <c r="K14" i="71"/>
  <c r="G14" i="71"/>
  <c r="J14" i="71" s="1"/>
  <c r="F14" i="71"/>
  <c r="N14" i="71" s="1"/>
  <c r="W14" i="71" s="1"/>
  <c r="E14" i="71"/>
  <c r="H14" i="71" s="1"/>
  <c r="BB14" i="71" s="1"/>
  <c r="D14" i="71"/>
  <c r="K13" i="71"/>
  <c r="G13" i="71"/>
  <c r="J13" i="71" s="1"/>
  <c r="F13" i="71"/>
  <c r="N13" i="71" s="1"/>
  <c r="W13" i="71" s="1"/>
  <c r="E13" i="71"/>
  <c r="H13" i="71" s="1"/>
  <c r="D13" i="71"/>
  <c r="AV12" i="71"/>
  <c r="G12" i="71"/>
  <c r="J12" i="71" s="1"/>
  <c r="F12" i="71"/>
  <c r="N12" i="71" s="1"/>
  <c r="W12" i="71" s="1"/>
  <c r="E12" i="71"/>
  <c r="D12" i="71"/>
  <c r="AV11" i="71"/>
  <c r="S11" i="71"/>
  <c r="G11" i="71"/>
  <c r="J11" i="71" s="1"/>
  <c r="F11" i="71"/>
  <c r="N11" i="71" s="1"/>
  <c r="W11" i="71" s="1"/>
  <c r="E11" i="71"/>
  <c r="H11" i="71" s="1"/>
  <c r="BB11" i="71" s="1"/>
  <c r="D11" i="71"/>
  <c r="K10" i="71"/>
  <c r="G10" i="71"/>
  <c r="F10" i="71"/>
  <c r="N10" i="71" s="1"/>
  <c r="W10" i="71" s="1"/>
  <c r="E10" i="71"/>
  <c r="H10" i="71" s="1"/>
  <c r="D10" i="71"/>
  <c r="AV9" i="71"/>
  <c r="S9" i="71"/>
  <c r="G9" i="71"/>
  <c r="F9" i="71"/>
  <c r="N9" i="71" s="1"/>
  <c r="E9" i="71"/>
  <c r="H9" i="71" s="1"/>
  <c r="BB9" i="71" s="1"/>
  <c r="D9" i="71"/>
  <c r="K8" i="71"/>
  <c r="G8" i="71"/>
  <c r="F8" i="71"/>
  <c r="N8" i="71" s="1"/>
  <c r="E8" i="71"/>
  <c r="H8" i="71" s="1"/>
  <c r="D8" i="71"/>
  <c r="AV7" i="71"/>
  <c r="F7" i="71"/>
  <c r="N7" i="71" s="1"/>
  <c r="E7" i="71"/>
  <c r="H7" i="71" s="1"/>
  <c r="BB7" i="71" s="1"/>
  <c r="D7" i="71"/>
  <c r="Y14" i="71" l="1"/>
  <c r="AR14" i="71" s="1"/>
  <c r="Y11" i="71"/>
  <c r="AR11" i="71" s="1"/>
  <c r="H15" i="71"/>
  <c r="M15" i="71" s="1"/>
  <c r="X15" i="71" s="1"/>
  <c r="H12" i="71"/>
  <c r="BB12" i="71" s="1"/>
  <c r="BA14" i="71"/>
  <c r="L14" i="71"/>
  <c r="V14" i="71" s="1"/>
  <c r="L16" i="71"/>
  <c r="V16" i="71" s="1"/>
  <c r="L10" i="71"/>
  <c r="V10" i="71" s="1"/>
  <c r="L8" i="71"/>
  <c r="V8" i="71" s="1"/>
  <c r="L13" i="71"/>
  <c r="V13" i="71" s="1"/>
  <c r="J7" i="71"/>
  <c r="AP9" i="71"/>
  <c r="AP11" i="71"/>
  <c r="AP13" i="71"/>
  <c r="K11" i="71"/>
  <c r="Y8" i="71"/>
  <c r="J9" i="71"/>
  <c r="Y9" i="71"/>
  <c r="AR9" i="71" s="1"/>
  <c r="S15" i="71"/>
  <c r="AR15" i="71" s="1"/>
  <c r="BC15" i="71" s="1"/>
  <c r="S12" i="71"/>
  <c r="AR12" i="71" s="1"/>
  <c r="BC12" i="71" s="1"/>
  <c r="M16" i="71"/>
  <c r="M14" i="71"/>
  <c r="AU11" i="71" l="1"/>
  <c r="AX11" i="71"/>
  <c r="AU14" i="71"/>
  <c r="J8" i="71"/>
  <c r="M8" i="71" s="1"/>
  <c r="BB15" i="71"/>
  <c r="BD15" i="71" s="1"/>
  <c r="X14" i="71"/>
  <c r="AQ14" i="71" s="1"/>
  <c r="AY14" i="71" s="1"/>
  <c r="AU9" i="71"/>
  <c r="X16" i="71"/>
  <c r="Z16" i="71"/>
  <c r="AO14" i="71"/>
  <c r="BD12" i="71"/>
  <c r="J10" i="71"/>
  <c r="M10" i="71" s="1"/>
  <c r="AD13" i="71"/>
  <c r="AD8" i="71"/>
  <c r="AD16" i="71"/>
  <c r="AD10" i="71"/>
  <c r="L11" i="71"/>
  <c r="W9" i="71"/>
  <c r="AE16" i="71"/>
  <c r="AE13" i="71"/>
  <c r="M13" i="71"/>
  <c r="AF13" i="71"/>
  <c r="AG13" i="71" s="1"/>
  <c r="AQ15" i="71"/>
  <c r="M12" i="71"/>
  <c r="X12" i="71" s="1"/>
  <c r="M9" i="71"/>
  <c r="X9" i="71" s="1"/>
  <c r="AQ9" i="71" s="1"/>
  <c r="AP16" i="71"/>
  <c r="AF16" i="71"/>
  <c r="AP8" i="71"/>
  <c r="W8" i="71"/>
  <c r="AF8" i="71" s="1"/>
  <c r="AP7" i="71"/>
  <c r="W7" i="71"/>
  <c r="AP14" i="71"/>
  <c r="M11" i="71"/>
  <c r="M7" i="71"/>
  <c r="AW14" i="71"/>
  <c r="AW15" i="71"/>
  <c r="AF10" i="71"/>
  <c r="AP10" i="71"/>
  <c r="K12" i="71"/>
  <c r="AP12" i="71"/>
  <c r="AP15" i="71"/>
  <c r="W34" i="70"/>
  <c r="L34" i="70"/>
  <c r="G34" i="70"/>
  <c r="P34" i="70" s="1"/>
  <c r="AI34" i="70" s="1"/>
  <c r="F34" i="70"/>
  <c r="J34" i="70" s="1"/>
  <c r="E34" i="70"/>
  <c r="D34" i="70"/>
  <c r="L33" i="70"/>
  <c r="G33" i="70"/>
  <c r="F33" i="70"/>
  <c r="E33" i="70"/>
  <c r="D33" i="70"/>
  <c r="W32" i="70"/>
  <c r="L32" i="70"/>
  <c r="G32" i="70"/>
  <c r="P32" i="70" s="1"/>
  <c r="AI32" i="70" s="1"/>
  <c r="F32" i="70"/>
  <c r="J32" i="70" s="1"/>
  <c r="E32" i="70"/>
  <c r="D32" i="70"/>
  <c r="L31" i="70"/>
  <c r="G31" i="70"/>
  <c r="P31" i="70" s="1"/>
  <c r="F31" i="70"/>
  <c r="J31" i="70" s="1"/>
  <c r="AT31" i="70" s="1"/>
  <c r="E31" i="70"/>
  <c r="D31" i="70"/>
  <c r="W30" i="70"/>
  <c r="L30" i="70"/>
  <c r="G30" i="70"/>
  <c r="P30" i="70" s="1"/>
  <c r="AI30" i="70" s="1"/>
  <c r="F30" i="70"/>
  <c r="E30" i="70"/>
  <c r="D30" i="70"/>
  <c r="W29" i="70"/>
  <c r="L29" i="70"/>
  <c r="G29" i="70"/>
  <c r="P29" i="70" s="1"/>
  <c r="AI29" i="70" s="1"/>
  <c r="F29" i="70"/>
  <c r="J29" i="70" s="1"/>
  <c r="E29" i="70"/>
  <c r="D29" i="70"/>
  <c r="L28" i="70"/>
  <c r="G28" i="70"/>
  <c r="F28" i="70"/>
  <c r="E28" i="70"/>
  <c r="D28" i="70"/>
  <c r="W27" i="70"/>
  <c r="L27" i="70"/>
  <c r="G27" i="70"/>
  <c r="P27" i="70" s="1"/>
  <c r="AI27" i="70" s="1"/>
  <c r="F27" i="70"/>
  <c r="J27" i="70" s="1"/>
  <c r="E27" i="70"/>
  <c r="D27" i="70"/>
  <c r="W26" i="70"/>
  <c r="L26" i="70"/>
  <c r="G26" i="70"/>
  <c r="P26" i="70" s="1"/>
  <c r="AI26" i="70" s="1"/>
  <c r="F26" i="70"/>
  <c r="J26" i="70" s="1"/>
  <c r="E26" i="70"/>
  <c r="D26" i="70"/>
  <c r="L25" i="70"/>
  <c r="G25" i="70"/>
  <c r="F25" i="70"/>
  <c r="J25" i="70" s="1"/>
  <c r="AT25" i="70" s="1"/>
  <c r="E25" i="70"/>
  <c r="D25" i="70"/>
  <c r="W24" i="70"/>
  <c r="L24" i="70"/>
  <c r="G24" i="70"/>
  <c r="P24" i="70" s="1"/>
  <c r="AI24" i="70" s="1"/>
  <c r="F24" i="70"/>
  <c r="E24" i="70"/>
  <c r="D24" i="70"/>
  <c r="W23" i="70"/>
  <c r="L23" i="70"/>
  <c r="G23" i="70"/>
  <c r="P23" i="70" s="1"/>
  <c r="AI23" i="70" s="1"/>
  <c r="F23" i="70"/>
  <c r="E23" i="70"/>
  <c r="D23" i="70"/>
  <c r="L22" i="70"/>
  <c r="G22" i="70"/>
  <c r="F22" i="70"/>
  <c r="E22" i="70"/>
  <c r="D22" i="70"/>
  <c r="W21" i="70"/>
  <c r="L21" i="70"/>
  <c r="G21" i="70"/>
  <c r="P21" i="70" s="1"/>
  <c r="AI21" i="70" s="1"/>
  <c r="F21" i="70"/>
  <c r="E21" i="70"/>
  <c r="D21" i="70"/>
  <c r="L20" i="70"/>
  <c r="G20" i="70"/>
  <c r="P20" i="70" s="1"/>
  <c r="F20" i="70"/>
  <c r="E20" i="70"/>
  <c r="D20" i="70"/>
  <c r="W19" i="70"/>
  <c r="L19" i="70"/>
  <c r="G19" i="70"/>
  <c r="P19" i="70" s="1"/>
  <c r="AI19" i="70" s="1"/>
  <c r="F19" i="70"/>
  <c r="E19" i="70"/>
  <c r="D19" i="70"/>
  <c r="L18" i="70"/>
  <c r="G18" i="70"/>
  <c r="P18" i="70" s="1"/>
  <c r="F18" i="70"/>
  <c r="E18" i="70"/>
  <c r="D18" i="70"/>
  <c r="W17" i="70"/>
  <c r="L17" i="70"/>
  <c r="G17" i="70"/>
  <c r="P17" i="70" s="1"/>
  <c r="AI17" i="70" s="1"/>
  <c r="F17" i="70"/>
  <c r="E17" i="70"/>
  <c r="D17" i="70"/>
  <c r="W16" i="70"/>
  <c r="L16" i="70"/>
  <c r="G16" i="70"/>
  <c r="P16" i="70" s="1"/>
  <c r="AI16" i="70" s="1"/>
  <c r="F16" i="70"/>
  <c r="E16" i="70"/>
  <c r="D16" i="70"/>
  <c r="Y15" i="70"/>
  <c r="Z15" i="70" s="1"/>
  <c r="L15" i="70"/>
  <c r="G15" i="70"/>
  <c r="P15" i="70" s="1"/>
  <c r="F15" i="70"/>
  <c r="E15" i="70"/>
  <c r="D15" i="70"/>
  <c r="W14" i="70"/>
  <c r="R14" i="70"/>
  <c r="G14" i="70"/>
  <c r="P14" i="70" s="1"/>
  <c r="AI14" i="70" s="1"/>
  <c r="F14" i="70"/>
  <c r="E14" i="70"/>
  <c r="D14" i="70"/>
  <c r="W13" i="70"/>
  <c r="L13" i="70"/>
  <c r="G13" i="70"/>
  <c r="P13" i="70" s="1"/>
  <c r="AI13" i="70" s="1"/>
  <c r="F13" i="70"/>
  <c r="E13" i="70"/>
  <c r="D13" i="70"/>
  <c r="L12" i="70"/>
  <c r="G12" i="70"/>
  <c r="F12" i="70"/>
  <c r="E12" i="70"/>
  <c r="D12" i="70"/>
  <c r="AX9" i="71" l="1"/>
  <c r="BC9" i="71" s="1"/>
  <c r="BD9" i="71" s="1"/>
  <c r="G25" i="72" s="1"/>
  <c r="X11" i="71"/>
  <c r="AQ11" i="71" s="1"/>
  <c r="AY11" i="71" s="1"/>
  <c r="AX14" i="71"/>
  <c r="BC14" i="71" s="1"/>
  <c r="BD14" i="71" s="1"/>
  <c r="G24" i="72" s="1"/>
  <c r="V11" i="71"/>
  <c r="AO11" i="71" s="1"/>
  <c r="BC11" i="71"/>
  <c r="BD11" i="71" s="1"/>
  <c r="G23" i="72" s="1"/>
  <c r="Z13" i="71"/>
  <c r="X13" i="71"/>
  <c r="AQ12" i="71"/>
  <c r="Z10" i="71"/>
  <c r="X10" i="71"/>
  <c r="X8" i="71"/>
  <c r="Z8" i="71"/>
  <c r="AW9" i="71"/>
  <c r="R25" i="70"/>
  <c r="R28" i="70"/>
  <c r="R24" i="70"/>
  <c r="R20" i="70"/>
  <c r="R23" i="70"/>
  <c r="R30" i="70"/>
  <c r="R18" i="70"/>
  <c r="R16" i="70"/>
  <c r="R33" i="70"/>
  <c r="R13" i="70"/>
  <c r="R12" i="70"/>
  <c r="R15" i="70"/>
  <c r="R22" i="70"/>
  <c r="R32" i="70"/>
  <c r="K31" i="70"/>
  <c r="AS31" i="70" s="1"/>
  <c r="AV31" i="70" s="1"/>
  <c r="L12" i="71"/>
  <c r="AY15" i="71"/>
  <c r="AY9" i="71"/>
  <c r="AW11" i="71"/>
  <c r="AW12" i="71"/>
  <c r="AG10" i="71"/>
  <c r="AG16" i="71"/>
  <c r="AH13" i="71"/>
  <c r="AK13" i="71" s="1"/>
  <c r="AM13" i="71" s="1"/>
  <c r="K15" i="71"/>
  <c r="AG8" i="71"/>
  <c r="AH8" i="71" s="1"/>
  <c r="AK8" i="71" s="1"/>
  <c r="K21" i="70"/>
  <c r="K20" i="70"/>
  <c r="AS20" i="70" s="1"/>
  <c r="K28" i="70"/>
  <c r="AS28" i="70" s="1"/>
  <c r="AT12" i="70"/>
  <c r="K22" i="70"/>
  <c r="AS22" i="70" s="1"/>
  <c r="J33" i="70"/>
  <c r="AT33" i="70" s="1"/>
  <c r="K24" i="70"/>
  <c r="K30" i="70"/>
  <c r="P28" i="70"/>
  <c r="P22" i="70"/>
  <c r="AT15" i="70"/>
  <c r="J17" i="70"/>
  <c r="K32" i="70"/>
  <c r="Q13" i="70"/>
  <c r="S13" i="70" s="1"/>
  <c r="AS18" i="70"/>
  <c r="AS15" i="70"/>
  <c r="J16" i="70"/>
  <c r="R17" i="70"/>
  <c r="R19" i="70"/>
  <c r="R21" i="70"/>
  <c r="J19" i="70"/>
  <c r="AT18" i="70"/>
  <c r="J21" i="70"/>
  <c r="J20" i="70"/>
  <c r="AT20" i="70" s="1"/>
  <c r="J22" i="70"/>
  <c r="AT22" i="70" s="1"/>
  <c r="J23" i="70"/>
  <c r="J24" i="70"/>
  <c r="K23" i="70"/>
  <c r="Q25" i="70"/>
  <c r="P25" i="70"/>
  <c r="K25" i="70"/>
  <c r="AS25" i="70" s="1"/>
  <c r="AV25" i="70" s="1"/>
  <c r="R26" i="70"/>
  <c r="Q29" i="70"/>
  <c r="S29" i="70" s="1"/>
  <c r="K27" i="70"/>
  <c r="K26" i="70"/>
  <c r="J28" i="70"/>
  <c r="AT28" i="70" s="1"/>
  <c r="R29" i="70"/>
  <c r="J30" i="70"/>
  <c r="Q26" i="70"/>
  <c r="S26" i="70" s="1"/>
  <c r="Q27" i="70"/>
  <c r="S27" i="70" s="1"/>
  <c r="R31" i="70"/>
  <c r="Q31" i="70"/>
  <c r="R27" i="70"/>
  <c r="K29" i="70"/>
  <c r="P33" i="70"/>
  <c r="K34" i="70"/>
  <c r="Q34" i="70"/>
  <c r="S34" i="70" s="1"/>
  <c r="Q32" i="70"/>
  <c r="S32" i="70" s="1"/>
  <c r="K33" i="70"/>
  <c r="AS33" i="70" s="1"/>
  <c r="R34" i="70"/>
  <c r="V12" i="71" l="1"/>
  <c r="AO12" i="71" s="1"/>
  <c r="AY12" i="71"/>
  <c r="G14" i="72"/>
  <c r="G12" i="72"/>
  <c r="AA8" i="71"/>
  <c r="AO13" i="71"/>
  <c r="AT13" i="71" s="1"/>
  <c r="AH10" i="71"/>
  <c r="AV12" i="70"/>
  <c r="AV15" i="70"/>
  <c r="AV28" i="70"/>
  <c r="M24" i="70"/>
  <c r="O24" i="70" s="1"/>
  <c r="X24" i="70" s="1"/>
  <c r="AV20" i="70"/>
  <c r="Q24" i="70"/>
  <c r="S24" i="70" s="1"/>
  <c r="AV33" i="70"/>
  <c r="M32" i="70"/>
  <c r="O32" i="70" s="1"/>
  <c r="X32" i="70" s="1"/>
  <c r="Q23" i="70"/>
  <c r="S23" i="70" s="1"/>
  <c r="M30" i="70"/>
  <c r="O30" i="70" s="1"/>
  <c r="X30" i="70" s="1"/>
  <c r="M17" i="70"/>
  <c r="O17" i="70" s="1"/>
  <c r="Q17" i="70"/>
  <c r="S17" i="70" s="1"/>
  <c r="AV22" i="70"/>
  <c r="AV18" i="70"/>
  <c r="Q33" i="70"/>
  <c r="Q28" i="70"/>
  <c r="Q20" i="70"/>
  <c r="Q18" i="70"/>
  <c r="M22" i="70"/>
  <c r="O22" i="70" s="1"/>
  <c r="Q22" i="70"/>
  <c r="M28" i="70"/>
  <c r="O28" i="70" s="1"/>
  <c r="L15" i="71"/>
  <c r="AB13" i="71"/>
  <c r="AN13" i="71"/>
  <c r="AA13" i="71"/>
  <c r="AH16" i="71"/>
  <c r="AJ8" i="71"/>
  <c r="AB8" i="71"/>
  <c r="O13" i="70"/>
  <c r="Q21" i="70"/>
  <c r="S21" i="70" s="1"/>
  <c r="Q19" i="70"/>
  <c r="S19" i="70" s="1"/>
  <c r="Q14" i="70"/>
  <c r="S14" i="70" s="1"/>
  <c r="Q15" i="70"/>
  <c r="M29" i="70"/>
  <c r="O29" i="70" s="1"/>
  <c r="M19" i="70"/>
  <c r="O19" i="70" s="1"/>
  <c r="M31" i="70"/>
  <c r="O31" i="70" s="1"/>
  <c r="M23" i="70"/>
  <c r="O23" i="70" s="1"/>
  <c r="M15" i="70"/>
  <c r="O15" i="70" s="1"/>
  <c r="M34" i="70"/>
  <c r="O34" i="70" s="1"/>
  <c r="Q30" i="70"/>
  <c r="S30" i="70" s="1"/>
  <c r="M21" i="70"/>
  <c r="O21" i="70" s="1"/>
  <c r="M12" i="70"/>
  <c r="O12" i="70" s="1"/>
  <c r="Q16" i="70"/>
  <c r="S16" i="70" s="1"/>
  <c r="M18" i="70"/>
  <c r="O18" i="70" s="1"/>
  <c r="M26" i="70"/>
  <c r="O26" i="70" s="1"/>
  <c r="M14" i="70"/>
  <c r="O14" i="70" s="1"/>
  <c r="M33" i="70"/>
  <c r="O33" i="70" s="1"/>
  <c r="M27" i="70"/>
  <c r="O27" i="70" s="1"/>
  <c r="M20" i="70"/>
  <c r="O20" i="70" s="1"/>
  <c r="M16" i="70"/>
  <c r="O16" i="70" s="1"/>
  <c r="Q12" i="70"/>
  <c r="M25" i="70"/>
  <c r="O25" i="70" s="1"/>
  <c r="E108" i="7"/>
  <c r="E107" i="7"/>
  <c r="E167" i="7"/>
  <c r="E169" i="7" s="1"/>
  <c r="I7" i="71" s="1"/>
  <c r="BA7" i="71" s="1"/>
  <c r="E166" i="7"/>
  <c r="E168" i="7" s="1"/>
  <c r="E164" i="7"/>
  <c r="E163" i="7"/>
  <c r="E165" i="7" s="1"/>
  <c r="E162" i="7"/>
  <c r="V15" i="71" l="1"/>
  <c r="AO15" i="71" s="1"/>
  <c r="G17" i="72"/>
  <c r="G16" i="72"/>
  <c r="G15" i="72"/>
  <c r="G13" i="72"/>
  <c r="G10" i="72"/>
  <c r="G11" i="72"/>
  <c r="G9" i="72"/>
  <c r="O8" i="69"/>
  <c r="AD8" i="69"/>
  <c r="BA13" i="71"/>
  <c r="AA16" i="71"/>
  <c r="AK16" i="71"/>
  <c r="AK10" i="71"/>
  <c r="AM10" i="71" s="1"/>
  <c r="AA10" i="71"/>
  <c r="AC10" i="71" s="1"/>
  <c r="AV13" i="71"/>
  <c r="J11" i="69"/>
  <c r="I16" i="69"/>
  <c r="I13" i="69"/>
  <c r="AJ10" i="71"/>
  <c r="AB10" i="71"/>
  <c r="K9" i="71"/>
  <c r="K7" i="71"/>
  <c r="L7" i="71" s="1"/>
  <c r="AC13" i="71"/>
  <c r="AR13" i="71"/>
  <c r="AQ13" i="71"/>
  <c r="AR8" i="71"/>
  <c r="AQ8" i="71"/>
  <c r="AM8" i="71"/>
  <c r="AC8" i="71"/>
  <c r="AB16" i="71"/>
  <c r="AN16" i="71"/>
  <c r="AO15" i="70"/>
  <c r="AQ33" i="70"/>
  <c r="AO33" i="70"/>
  <c r="X14" i="70"/>
  <c r="X21" i="70"/>
  <c r="X34" i="70"/>
  <c r="X29" i="70"/>
  <c r="X19" i="70"/>
  <c r="X16" i="70"/>
  <c r="X27" i="70"/>
  <c r="Y30" i="70"/>
  <c r="Z30" i="70" s="1"/>
  <c r="AC30" i="70" s="1"/>
  <c r="AO22" i="70"/>
  <c r="AQ22" i="70"/>
  <c r="X26" i="70"/>
  <c r="X13" i="70"/>
  <c r="AO28" i="70"/>
  <c r="AQ28" i="70"/>
  <c r="AO25" i="70"/>
  <c r="AQ25" i="70"/>
  <c r="AQ18" i="70"/>
  <c r="AO18" i="70"/>
  <c r="AO12" i="70"/>
  <c r="X17" i="70"/>
  <c r="Y24" i="70"/>
  <c r="AO31" i="70"/>
  <c r="AQ31" i="70"/>
  <c r="X23" i="70"/>
  <c r="AO20" i="70"/>
  <c r="AQ20" i="70"/>
  <c r="Y32" i="70"/>
  <c r="Z32" i="70" s="1"/>
  <c r="AC32" i="70" s="1"/>
  <c r="AU13" i="71" l="1"/>
  <c r="AX13" i="71" s="1"/>
  <c r="AU8" i="71"/>
  <c r="AE8" i="69"/>
  <c r="AL8" i="69" s="1"/>
  <c r="N11" i="69"/>
  <c r="AQ10" i="71"/>
  <c r="AS10" i="71" s="1"/>
  <c r="AM16" i="71"/>
  <c r="AO16" i="71" s="1"/>
  <c r="AT16" i="71" s="1"/>
  <c r="AR10" i="71"/>
  <c r="J13" i="69"/>
  <c r="N13" i="69" s="1"/>
  <c r="AC13" i="69" s="1"/>
  <c r="AF13" i="69" s="1"/>
  <c r="AK13" i="69" s="1"/>
  <c r="AO10" i="71"/>
  <c r="AO8" i="71"/>
  <c r="T32" i="70"/>
  <c r="V32" i="70" s="1"/>
  <c r="T30" i="70"/>
  <c r="L9" i="71"/>
  <c r="V9" i="71" s="1"/>
  <c r="AO9" i="71" s="1"/>
  <c r="V7" i="71"/>
  <c r="AO7" i="71" s="1"/>
  <c r="AR16" i="71"/>
  <c r="AQ16" i="71"/>
  <c r="AC16" i="71"/>
  <c r="AY13" i="71"/>
  <c r="AW13" i="71"/>
  <c r="AS13" i="71"/>
  <c r="BB13" i="71" s="1"/>
  <c r="AS8" i="71"/>
  <c r="AY8" i="71"/>
  <c r="AW8" i="71"/>
  <c r="AQ15" i="70"/>
  <c r="AG30" i="70"/>
  <c r="AM30" i="70" s="1"/>
  <c r="Y34" i="70"/>
  <c r="Y13" i="70"/>
  <c r="Z13" i="70" s="1"/>
  <c r="AC13" i="70" s="1"/>
  <c r="U30" i="70"/>
  <c r="Y21" i="70"/>
  <c r="Z21" i="70" s="1"/>
  <c r="AC21" i="70" s="1"/>
  <c r="Y17" i="70"/>
  <c r="Z17" i="70" s="1"/>
  <c r="AC17" i="70" s="1"/>
  <c r="Y26" i="70"/>
  <c r="Z26" i="70" s="1"/>
  <c r="AC26" i="70" s="1"/>
  <c r="Y16" i="70"/>
  <c r="Y19" i="70"/>
  <c r="U32" i="70"/>
  <c r="AG32" i="70"/>
  <c r="AM32" i="70" s="1"/>
  <c r="Y29" i="70"/>
  <c r="Y23" i="70"/>
  <c r="Z24" i="70"/>
  <c r="AC24" i="70" s="1"/>
  <c r="AG24" i="70"/>
  <c r="AM24" i="70" s="1"/>
  <c r="Y27" i="70"/>
  <c r="Y14" i="70"/>
  <c r="AH14" i="70" s="1"/>
  <c r="N8" i="69"/>
  <c r="AU10" i="71" l="1"/>
  <c r="AX10" i="71" s="1"/>
  <c r="BC10" i="71" s="1"/>
  <c r="AU16" i="71"/>
  <c r="AX16" i="71" s="1"/>
  <c r="AX8" i="71"/>
  <c r="Q11" i="69"/>
  <c r="AW10" i="71"/>
  <c r="AY10" i="71"/>
  <c r="AC8" i="69"/>
  <c r="BC13" i="71"/>
  <c r="BD13" i="71" s="1"/>
  <c r="H23" i="72" s="1"/>
  <c r="AT8" i="71"/>
  <c r="BA8" i="71" s="1"/>
  <c r="R11" i="69"/>
  <c r="AV16" i="71"/>
  <c r="BA16" i="71"/>
  <c r="AT10" i="71"/>
  <c r="BB10" i="71"/>
  <c r="J16" i="69"/>
  <c r="I21" i="69"/>
  <c r="I18" i="69"/>
  <c r="BB8" i="71"/>
  <c r="AH13" i="70"/>
  <c r="AS30" i="70"/>
  <c r="AS32" i="70"/>
  <c r="V30" i="70"/>
  <c r="T26" i="70"/>
  <c r="AE13" i="70"/>
  <c r="T13" i="70"/>
  <c r="AS16" i="71"/>
  <c r="AY16" i="71"/>
  <c r="AW16" i="71"/>
  <c r="AE26" i="70"/>
  <c r="AG17" i="70"/>
  <c r="AM17" i="70" s="1"/>
  <c r="AB13" i="70"/>
  <c r="U13" i="70"/>
  <c r="AJ13" i="70" s="1"/>
  <c r="AG21" i="70"/>
  <c r="AM21" i="70" s="1"/>
  <c r="U21" i="70"/>
  <c r="AJ21" i="70" s="1"/>
  <c r="AK21" i="70" s="1"/>
  <c r="U17" i="70"/>
  <c r="AJ17" i="70" s="1"/>
  <c r="AK17" i="70" s="1"/>
  <c r="T17" i="70"/>
  <c r="Z23" i="70"/>
  <c r="AC23" i="70" s="1"/>
  <c r="AG23" i="70"/>
  <c r="AM23" i="70" s="1"/>
  <c r="AG26" i="70"/>
  <c r="AM26" i="70" s="1"/>
  <c r="Z29" i="70"/>
  <c r="AC29" i="70" s="1"/>
  <c r="AG29" i="70"/>
  <c r="AM29" i="70" s="1"/>
  <c r="AG13" i="70"/>
  <c r="AM13" i="70" s="1"/>
  <c r="AJ32" i="70"/>
  <c r="AK32" i="70" s="1"/>
  <c r="Z19" i="70"/>
  <c r="AC19" i="70" s="1"/>
  <c r="AG19" i="70"/>
  <c r="AM19" i="70" s="1"/>
  <c r="Z34" i="70"/>
  <c r="AC34" i="70" s="1"/>
  <c r="AG34" i="70"/>
  <c r="AM34" i="70" s="1"/>
  <c r="Z27" i="70"/>
  <c r="AC27" i="70" s="1"/>
  <c r="AG27" i="70"/>
  <c r="AM27" i="70" s="1"/>
  <c r="AE32" i="70"/>
  <c r="Z16" i="70"/>
  <c r="AC16" i="70" s="1"/>
  <c r="AG16" i="70"/>
  <c r="AM16" i="70" s="1"/>
  <c r="AJ30" i="70"/>
  <c r="AK30" i="70" s="1"/>
  <c r="U24" i="70"/>
  <c r="AJ24" i="70" s="1"/>
  <c r="AK24" i="70" s="1"/>
  <c r="T24" i="70"/>
  <c r="AS24" i="70" s="1"/>
  <c r="Z14" i="70"/>
  <c r="AC14" i="70" s="1"/>
  <c r="AG14" i="70"/>
  <c r="AM14" i="70" s="1"/>
  <c r="AB26" i="70"/>
  <c r="U26" i="70"/>
  <c r="T21" i="70"/>
  <c r="AE30" i="70"/>
  <c r="AE13" i="69"/>
  <c r="AL13" i="69" s="1"/>
  <c r="AN13" i="69" s="1"/>
  <c r="AN17" i="70" l="1"/>
  <c r="AP17" i="70"/>
  <c r="BC8" i="71"/>
  <c r="BD8" i="71" s="1"/>
  <c r="H26" i="72" s="1"/>
  <c r="AN24" i="70"/>
  <c r="AP24" i="70"/>
  <c r="AN21" i="70"/>
  <c r="AP21" i="70"/>
  <c r="AN32" i="70"/>
  <c r="AP32" i="70"/>
  <c r="AN30" i="70"/>
  <c r="AP30" i="70"/>
  <c r="AQ13" i="70"/>
  <c r="AK13" i="70"/>
  <c r="AV8" i="71"/>
  <c r="AS21" i="70"/>
  <c r="G20" i="72"/>
  <c r="AF8" i="69"/>
  <c r="N16" i="69"/>
  <c r="AC11" i="69"/>
  <c r="BC16" i="71"/>
  <c r="S11" i="69"/>
  <c r="BA10" i="71"/>
  <c r="BD10" i="71" s="1"/>
  <c r="H25" i="72" s="1"/>
  <c r="AV10" i="71"/>
  <c r="BB16" i="71"/>
  <c r="AJ18" i="69"/>
  <c r="AE18" i="69"/>
  <c r="AL18" i="69" s="1"/>
  <c r="J18" i="69"/>
  <c r="N18" i="69" s="1"/>
  <c r="AC18" i="69" s="1"/>
  <c r="J21" i="69"/>
  <c r="AS13" i="70"/>
  <c r="AS17" i="70"/>
  <c r="AE23" i="70"/>
  <c r="T23" i="70"/>
  <c r="AS23" i="70" s="1"/>
  <c r="AS26" i="70"/>
  <c r="V26" i="70"/>
  <c r="T14" i="70"/>
  <c r="AS14" i="70" s="1"/>
  <c r="U29" i="70"/>
  <c r="T29" i="70"/>
  <c r="V13" i="70"/>
  <c r="AJ26" i="70"/>
  <c r="AK26" i="70" s="1"/>
  <c r="AT13" i="70"/>
  <c r="U14" i="70"/>
  <c r="AJ14" i="70" s="1"/>
  <c r="AK14" i="70" s="1"/>
  <c r="U34" i="70"/>
  <c r="T34" i="70"/>
  <c r="AS34" i="70" s="1"/>
  <c r="U19" i="70"/>
  <c r="AJ19" i="70" s="1"/>
  <c r="AK19" i="70" s="1"/>
  <c r="T19" i="70"/>
  <c r="AS19" i="70" s="1"/>
  <c r="V17" i="70"/>
  <c r="V24" i="70"/>
  <c r="U23" i="70"/>
  <c r="AJ23" i="70" s="1"/>
  <c r="AK23" i="70" s="1"/>
  <c r="AB23" i="70"/>
  <c r="AE17" i="70"/>
  <c r="AE24" i="70"/>
  <c r="U16" i="70"/>
  <c r="AJ16" i="70" s="1"/>
  <c r="AK16" i="70" s="1"/>
  <c r="T16" i="70"/>
  <c r="AS16" i="70" s="1"/>
  <c r="AQ32" i="70"/>
  <c r="AO32" i="70"/>
  <c r="AE21" i="70"/>
  <c r="V21" i="70"/>
  <c r="AQ30" i="70"/>
  <c r="AO30" i="70"/>
  <c r="U27" i="70"/>
  <c r="T27" i="70"/>
  <c r="AH18" i="69"/>
  <c r="AJ13" i="69"/>
  <c r="AH13" i="69"/>
  <c r="G290" i="7"/>
  <c r="G291" i="7"/>
  <c r="G292" i="7"/>
  <c r="G293" i="7"/>
  <c r="G294" i="7"/>
  <c r="G295" i="7"/>
  <c r="G296" i="7"/>
  <c r="G297" i="7"/>
  <c r="G298" i="7"/>
  <c r="G299" i="7"/>
  <c r="G289" i="7"/>
  <c r="D298" i="7"/>
  <c r="D299" i="7"/>
  <c r="D297" i="7"/>
  <c r="D293" i="7"/>
  <c r="D295" i="7"/>
  <c r="D296" i="7"/>
  <c r="AF18" i="69" l="1"/>
  <c r="AK18" i="69" s="1"/>
  <c r="AN18" i="69" s="1"/>
  <c r="G21" i="72" s="1"/>
  <c r="AN23" i="70"/>
  <c r="AP23" i="70"/>
  <c r="AU21" i="70"/>
  <c r="AN16" i="70"/>
  <c r="AP16" i="70"/>
  <c r="AU30" i="70"/>
  <c r="AN26" i="70"/>
  <c r="AP26" i="70"/>
  <c r="AU24" i="70"/>
  <c r="AU32" i="70"/>
  <c r="AN13" i="70"/>
  <c r="AP13" i="70"/>
  <c r="AN19" i="70"/>
  <c r="AP19" i="70"/>
  <c r="AN14" i="70"/>
  <c r="AP14" i="70"/>
  <c r="AU17" i="70"/>
  <c r="Y11" i="69"/>
  <c r="BD16" i="71"/>
  <c r="H24" i="72" s="1"/>
  <c r="Q16" i="69"/>
  <c r="AK8" i="69"/>
  <c r="N21" i="69"/>
  <c r="AF11" i="69"/>
  <c r="U11" i="69"/>
  <c r="AS29" i="70"/>
  <c r="AT30" i="70"/>
  <c r="AT32" i="70"/>
  <c r="AS27" i="70"/>
  <c r="AE27" i="70"/>
  <c r="V34" i="70"/>
  <c r="V14" i="70"/>
  <c r="AJ29" i="70"/>
  <c r="AK29" i="70" s="1"/>
  <c r="AJ27" i="70"/>
  <c r="AK27" i="70" s="1"/>
  <c r="AE34" i="70"/>
  <c r="AE14" i="70"/>
  <c r="AJ34" i="70"/>
  <c r="AK34" i="70" s="1"/>
  <c r="AQ24" i="70"/>
  <c r="AO24" i="70"/>
  <c r="AQ17" i="70"/>
  <c r="AO17" i="70"/>
  <c r="V19" i="70"/>
  <c r="AQ21" i="70"/>
  <c r="AO21" i="70"/>
  <c r="AE19" i="70"/>
  <c r="V16" i="70"/>
  <c r="AO26" i="70"/>
  <c r="AQ26" i="70"/>
  <c r="AE16" i="70"/>
  <c r="V23" i="70"/>
  <c r="V29" i="70"/>
  <c r="V27" i="70"/>
  <c r="AO13" i="70"/>
  <c r="AE29" i="70"/>
  <c r="AV32" i="70" l="1"/>
  <c r="H14" i="72" s="1"/>
  <c r="AU13" i="70"/>
  <c r="AV13" i="70" s="1"/>
  <c r="AV30" i="70"/>
  <c r="H13" i="72"/>
  <c r="AN29" i="70"/>
  <c r="AP29" i="70"/>
  <c r="AU16" i="70"/>
  <c r="AU14" i="70"/>
  <c r="AN34" i="70"/>
  <c r="AP34" i="70"/>
  <c r="AU26" i="70"/>
  <c r="AN27" i="70"/>
  <c r="AP27" i="70"/>
  <c r="AU19" i="70"/>
  <c r="AU23" i="70"/>
  <c r="R16" i="69"/>
  <c r="S16" i="69" s="1"/>
  <c r="Q21" i="69"/>
  <c r="AN8" i="69"/>
  <c r="AK11" i="69"/>
  <c r="AT26" i="70"/>
  <c r="AT24" i="70"/>
  <c r="AV24" i="70" s="1"/>
  <c r="AT17" i="70"/>
  <c r="AV17" i="70" s="1"/>
  <c r="AT21" i="70"/>
  <c r="AV21" i="70" s="1"/>
  <c r="AQ19" i="70"/>
  <c r="AO19" i="70"/>
  <c r="AQ16" i="70"/>
  <c r="AO16" i="70"/>
  <c r="AO34" i="70"/>
  <c r="AQ34" i="70"/>
  <c r="AQ14" i="70"/>
  <c r="AO14" i="70"/>
  <c r="AQ27" i="70"/>
  <c r="AO27" i="70"/>
  <c r="AO29" i="70"/>
  <c r="AQ29" i="70"/>
  <c r="AO23" i="70"/>
  <c r="AQ23" i="70"/>
  <c r="AE11" i="69"/>
  <c r="AJ8" i="69"/>
  <c r="AH8" i="69"/>
  <c r="AC16" i="69" l="1"/>
  <c r="AF16" i="69" s="1"/>
  <c r="AV26" i="70"/>
  <c r="AU34" i="70"/>
  <c r="AU27" i="70"/>
  <c r="AU29" i="70"/>
  <c r="H15" i="72"/>
  <c r="H17" i="72"/>
  <c r="R21" i="69"/>
  <c r="G19" i="72"/>
  <c r="AL11" i="69"/>
  <c r="Y16" i="69"/>
  <c r="U16" i="69"/>
  <c r="AT29" i="70"/>
  <c r="AT14" i="70"/>
  <c r="AV14" i="70" s="1"/>
  <c r="AT16" i="70"/>
  <c r="AV16" i="70" s="1"/>
  <c r="AT27" i="70"/>
  <c r="AT23" i="70"/>
  <c r="AV23" i="70" s="1"/>
  <c r="AT34" i="70"/>
  <c r="AV34" i="70" s="1"/>
  <c r="AT19" i="70"/>
  <c r="AV19" i="70" s="1"/>
  <c r="AE14" i="69"/>
  <c r="AL14" i="69" s="1"/>
  <c r="AN14" i="69" s="1"/>
  <c r="AE19" i="69"/>
  <c r="AL19" i="69" s="1"/>
  <c r="AN19" i="69" s="1"/>
  <c r="AJ11" i="69"/>
  <c r="AH11" i="69"/>
  <c r="AV27" i="70" l="1"/>
  <c r="H12" i="72" s="1"/>
  <c r="AV29" i="70"/>
  <c r="H16" i="72"/>
  <c r="H11" i="72"/>
  <c r="H10" i="72"/>
  <c r="H9" i="72"/>
  <c r="S21" i="69"/>
  <c r="U21" i="69" s="1"/>
  <c r="AC21" i="69"/>
  <c r="AN11" i="69"/>
  <c r="AK16" i="69"/>
  <c r="AJ14" i="69"/>
  <c r="AH14" i="69"/>
  <c r="AE9" i="69"/>
  <c r="AL9" i="69" s="1"/>
  <c r="AN9" i="69" s="1"/>
  <c r="AJ19" i="69"/>
  <c r="AH19" i="69"/>
  <c r="E196" i="7"/>
  <c r="F196" i="7"/>
  <c r="G196" i="7"/>
  <c r="H196" i="7"/>
  <c r="I196" i="7"/>
  <c r="J196" i="7"/>
  <c r="D196" i="7"/>
  <c r="H19" i="72" l="1"/>
  <c r="AF21" i="69"/>
  <c r="Y21" i="69"/>
  <c r="AN16" i="69"/>
  <c r="H20" i="72" s="1"/>
  <c r="AJ9" i="69"/>
  <c r="AH9" i="69"/>
  <c r="I9" i="6"/>
  <c r="H4" i="6"/>
  <c r="AK21" i="69" l="1"/>
  <c r="AN21" i="69" s="1"/>
  <c r="H21" i="72" s="1"/>
  <c r="E105" i="7" l="1"/>
  <c r="J9" i="6" l="1"/>
  <c r="E106" i="7"/>
  <c r="K9" i="6" l="1"/>
  <c r="K4" i="6" l="1"/>
  <c r="J4" i="6"/>
  <c r="J202" i="7" l="1"/>
  <c r="I202" i="7"/>
  <c r="H200" i="7"/>
  <c r="D202" i="7"/>
  <c r="D201" i="7"/>
  <c r="D200" i="7"/>
  <c r="AQ253" i="7" l="1"/>
  <c r="F163" i="7" l="1"/>
  <c r="F162" i="7"/>
  <c r="J34" i="7" l="1"/>
  <c r="J35" i="7"/>
  <c r="J33" i="7"/>
  <c r="J82" i="7" l="1"/>
  <c r="D172" i="7" l="1"/>
  <c r="J228" i="7" l="1"/>
  <c r="I228" i="7"/>
  <c r="H228" i="7"/>
  <c r="G228" i="7"/>
  <c r="F228" i="7"/>
  <c r="E228" i="7"/>
  <c r="D228" i="7"/>
  <c r="F294" i="7" l="1"/>
  <c r="E130" i="7" l="1"/>
  <c r="E129" i="7"/>
  <c r="E128" i="7"/>
  <c r="E127" i="7"/>
  <c r="E137" i="7" l="1"/>
  <c r="E138" i="7"/>
  <c r="E139" i="7"/>
  <c r="E140" i="7"/>
  <c r="AB257" i="7" l="1"/>
  <c r="AF257" i="7"/>
  <c r="D252" i="7" l="1"/>
  <c r="D253" i="7"/>
  <c r="D255" i="7"/>
  <c r="D256" i="7"/>
  <c r="D258" i="7"/>
  <c r="D259" i="7"/>
  <c r="I252" i="7"/>
  <c r="I255" i="7" s="1"/>
  <c r="K252" i="7"/>
  <c r="I253" i="7"/>
  <c r="I256" i="7" s="1"/>
  <c r="K253" i="7"/>
  <c r="K255" i="7"/>
  <c r="K256" i="7"/>
  <c r="I258" i="7" l="1"/>
  <c r="I259" i="7"/>
  <c r="C7" i="6" l="1"/>
  <c r="J32" i="7"/>
  <c r="B23" i="6" l="1"/>
  <c r="C15" i="6"/>
  <c r="C14" i="6"/>
  <c r="D5" i="6"/>
  <c r="C8" i="6" s="1"/>
  <c r="AQ252" i="7" l="1"/>
  <c r="AM252" i="7"/>
  <c r="AF256" i="7"/>
  <c r="AG170" i="7"/>
  <c r="AG169" i="7"/>
  <c r="AG168" i="7"/>
  <c r="AG167" i="7"/>
  <c r="AF254" i="7"/>
  <c r="AF255" i="7"/>
  <c r="AJ256" i="7"/>
  <c r="AJ255" i="7"/>
  <c r="AJ254" i="7"/>
  <c r="AG183" i="7"/>
  <c r="AG182" i="7"/>
  <c r="AG181" i="7"/>
  <c r="AG180" i="7"/>
  <c r="AH253" i="7"/>
  <c r="AB253" i="7"/>
  <c r="AF252" i="7"/>
  <c r="AF251" i="7"/>
  <c r="AB252" i="7"/>
  <c r="AB251" i="7"/>
  <c r="H293" i="7"/>
  <c r="I290" i="7" l="1"/>
  <c r="I291" i="7"/>
  <c r="I289" i="7"/>
  <c r="H298" i="7"/>
  <c r="I298" i="7" s="1"/>
  <c r="H299" i="7"/>
  <c r="I299" i="7" s="1"/>
  <c r="H297" i="7"/>
  <c r="H295" i="7"/>
  <c r="I295" i="7" s="1"/>
  <c r="H296" i="7"/>
  <c r="I296" i="7" s="1"/>
  <c r="H292" i="7"/>
  <c r="F298" i="7"/>
  <c r="F299" i="7"/>
  <c r="F297" i="7"/>
  <c r="F295" i="7"/>
  <c r="F296" i="7"/>
  <c r="F292" i="7"/>
  <c r="I297" i="7" l="1"/>
  <c r="I292" i="7"/>
  <c r="I293" i="7"/>
  <c r="R251" i="7" l="1"/>
  <c r="R254" i="7"/>
  <c r="R253" i="7"/>
  <c r="AF253" i="7"/>
  <c r="E7" i="7"/>
  <c r="E9" i="7"/>
  <c r="E16" i="7" l="1"/>
  <c r="E11" i="7"/>
  <c r="S7" i="71" l="1"/>
  <c r="X7" i="71" l="1"/>
  <c r="AQ7" i="71" s="1"/>
  <c r="Y7" i="71"/>
  <c r="AR7" i="71" s="1"/>
  <c r="AU7" i="71" l="1"/>
  <c r="AX7" i="71" s="1"/>
  <c r="AW7" i="71"/>
  <c r="AY7" i="71"/>
  <c r="BC7" i="71" l="1"/>
  <c r="BD7" i="71" s="1"/>
  <c r="G26" i="72" s="1"/>
  <c r="G30" i="72" s="1"/>
  <c r="H30" i="72" l="1"/>
  <c r="H32" i="72" s="1"/>
  <c r="H31" i="7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Pascal Levasseur</author>
  </authors>
  <commentList>
    <comment ref="M7" authorId="0" shapeId="0" xr:uid="{D0ECFC3F-D189-47D8-BE14-BD27FAB928E7}">
      <text>
        <r>
          <rPr>
            <b/>
            <sz val="9"/>
            <color indexed="81"/>
            <rFont val="Tahoma"/>
            <family val="2"/>
          </rPr>
          <t>Il ne s'agit que de suggestions, le bilan économique ne s'effectuant qu'avec les rubriques:
- Paramètres économiques à retenir
- Paramètres techniques à retenir</t>
        </r>
      </text>
    </comment>
    <comment ref="D8" authorId="0" shapeId="0" xr:uid="{034DE3F0-EB8A-4376-B672-C946191359AD}">
      <text>
        <r>
          <rPr>
            <b/>
            <sz val="9"/>
            <color indexed="81"/>
            <rFont val="Tahoma"/>
            <family val="2"/>
          </rPr>
          <t>En mode standard, la gestion des effluents d'élevage a lieu en fosse extérieure non couverte pour les lisiers et en fumière et/ou au champs pour les fumiers.</t>
        </r>
      </text>
    </comment>
    <comment ref="M9" authorId="0" shapeId="0" xr:uid="{53E7F57F-C1C4-4E0B-BE90-A3E35BADB1B5}">
      <text>
        <r>
          <rPr>
            <b/>
            <sz val="10"/>
            <color indexed="81"/>
            <rFont val="Tahoma"/>
            <family val="2"/>
          </rPr>
          <t>Coûts pour une situation standard (Toudic, Nénufar, comm. Personnelle, 2022).
Coûts d'investissement et de fonctionnement/an respectivement de 84 400 et 2500 € pour 2000 m3 d'effluent/an; 112 200 et 3000 € pour 6000 m3 d'effluent/an; 133 000 et 3500 € pour 10000 m3 d'effluent/an.
Investissements: couverture Nénufar et équipements de sécurité, ligne de transport sur 100 m et de traitement du biogaz (analyseur biogaz inclus), chaudière bigaz biogaz/propane, autres frais divers (ICPE, cables électrique, terrassement)</t>
        </r>
      </text>
    </comment>
    <comment ref="M10" authorId="0" shapeId="0" xr:uid="{8E62F6F4-21AE-47B8-86F8-2D8F7F369EE9}">
      <text>
        <r>
          <rPr>
            <b/>
            <sz val="9"/>
            <color indexed="81"/>
            <rFont val="Tahoma"/>
            <family val="2"/>
          </rPr>
          <t>Maintenance + consommation électrique et de charbon actif, temps de travail, assurance.
Coûts pour une situation standard (Toudic, Nénufar, comm. Personnelle, 2022).</t>
        </r>
      </text>
    </comment>
    <comment ref="M12" authorId="0" shapeId="0" xr:uid="{3A660427-8A05-4551-B924-C7BFBD8986DD}">
      <text>
        <r>
          <rPr>
            <b/>
            <sz val="9"/>
            <color indexed="81"/>
            <rFont val="Tahoma"/>
            <family val="2"/>
          </rPr>
          <t>Hypothèse d'un fonctionnement de 8000 h/an et d'un rendement électrique de 35 %</t>
        </r>
      </text>
    </comment>
    <comment ref="M13" authorId="0" shapeId="0" xr:uid="{AF54E9C2-FA11-4906-81EA-88B99DB5A8E2}">
      <text>
        <r>
          <rPr>
            <b/>
            <sz val="9"/>
            <color indexed="81"/>
            <rFont val="Tahoma"/>
            <family val="2"/>
          </rPr>
          <t>Selon Ademe et al (2019): 27 unités de 33 à 123 kWe installées 
Moyenne 9 530 €/kWe
Résultats PRODIGE2 (Ademe, Apca, 2022) légèrement plus élevés avec 10 180 €/kWe pour les unités &lt;140 kWe installés</t>
        </r>
        <r>
          <rPr>
            <sz val="9"/>
            <color indexed="81"/>
            <rFont val="Tahoma"/>
            <family val="2"/>
          </rPr>
          <t xml:space="preserve">
</t>
        </r>
      </text>
    </comment>
    <comment ref="M14" authorId="0" shapeId="0" xr:uid="{93130069-9590-440C-8A73-64841FE4AAF1}">
      <text>
        <r>
          <rPr>
            <b/>
            <sz val="9"/>
            <color indexed="81"/>
            <rFont val="Tahoma"/>
            <family val="2"/>
          </rPr>
          <t>Coût d'exploitation et de travail s'élevant à 11 ct€/kWhe vendus (Ademe et al, 2019 - Ademe et Apca, 2022).</t>
        </r>
        <r>
          <rPr>
            <sz val="9"/>
            <color indexed="81"/>
            <rFont val="Tahoma"/>
            <family val="2"/>
          </rPr>
          <t xml:space="preserve">
</t>
        </r>
      </text>
    </comment>
    <comment ref="D19" authorId="0" shapeId="0" xr:uid="{0F8C5AE9-CC0C-4111-8E53-8816396CC78F}">
      <text>
        <r>
          <rPr>
            <b/>
            <sz val="9"/>
            <color indexed="81"/>
            <rFont val="Tahoma"/>
            <family val="2"/>
          </rPr>
          <t>Vidange après chaque bande</t>
        </r>
      </text>
    </comment>
    <comment ref="M19" authorId="0" shapeId="0" xr:uid="{14BBC675-F84D-44F4-84D9-91B2BFD0D2A8}">
      <text>
        <r>
          <rPr>
            <b/>
            <sz val="9"/>
            <color indexed="81"/>
            <rFont val="Tahoma"/>
            <family val="2"/>
          </rPr>
          <t xml:space="preserve">coût d'investissement moyen de 24,5 €/m2 de bâtiment (Courbatel, 2019) </t>
        </r>
      </text>
    </comment>
    <comment ref="D20" authorId="0" shapeId="0" xr:uid="{49C9C672-756B-4FB7-BE6C-4FA70BBDBDC4}">
      <text>
        <r>
          <rPr>
            <b/>
            <sz val="9"/>
            <color indexed="81"/>
            <rFont val="Tahoma"/>
            <family val="2"/>
          </rPr>
          <t>Vidange lorsqu'elle est pleine ou proche de l'être</t>
        </r>
      </text>
    </comment>
    <comment ref="D21" authorId="0" shapeId="0" xr:uid="{606E5BBA-C1DB-4D78-A6D2-3ACEFBA45219}">
      <text>
        <r>
          <rPr>
            <b/>
            <sz val="9"/>
            <color indexed="81"/>
            <rFont val="Tahoma"/>
            <family val="2"/>
          </rPr>
          <t>Vidange après chaque bande</t>
        </r>
      </text>
    </comment>
    <comment ref="M21" authorId="0" shapeId="0" xr:uid="{480D2E03-1EC3-4CE4-8DC3-DB7755AF9783}">
      <text>
        <r>
          <rPr>
            <b/>
            <sz val="9"/>
            <color indexed="81"/>
            <rFont val="Tahoma"/>
            <family val="2"/>
          </rPr>
          <t>Les cellules en jaune ci-dessous sont à remplir (sur la base des éventuelles suggestions ci-dessus).</t>
        </r>
      </text>
    </comment>
    <comment ref="M23" authorId="0" shapeId="0" xr:uid="{E2C97E99-E5B1-4300-9689-2A3FC8C919F0}">
      <text>
        <r>
          <rPr>
            <b/>
            <sz val="9"/>
            <color indexed="81"/>
            <rFont val="Tahoma"/>
            <family val="2"/>
          </rPr>
          <t>Reporter la valeur proposée ou mettre sa propre valeur si jugée plus précise ou en cas de situation non quantifiée (compostage pour les volailles; méthanisation collective)</t>
        </r>
        <r>
          <rPr>
            <sz val="9"/>
            <color indexed="81"/>
            <rFont val="Tahoma"/>
            <family val="2"/>
          </rPr>
          <t xml:space="preserve">
</t>
        </r>
      </text>
    </comment>
    <comment ref="C24" authorId="0" shapeId="0" xr:uid="{05DAD03C-2A78-4ADB-B22C-BBFADC60218B}">
      <text>
        <r>
          <rPr>
            <b/>
            <sz val="9"/>
            <color indexed="81"/>
            <rFont val="Tahoma"/>
            <family val="2"/>
          </rPr>
          <t>PAG = Prêt à gaver</t>
        </r>
      </text>
    </comment>
    <comment ref="M24" authorId="0" shapeId="0" xr:uid="{73A64003-386C-4DA7-A925-8231E49CA51E}">
      <text>
        <r>
          <rPr>
            <b/>
            <sz val="9"/>
            <color indexed="81"/>
            <rFont val="Tahoma"/>
            <family val="2"/>
          </rPr>
          <t>Viendra en déduction des investissements pour calculer le coût à la tonne de CO2 épargnée</t>
        </r>
        <r>
          <rPr>
            <sz val="9"/>
            <color indexed="81"/>
            <rFont val="Tahoma"/>
            <family val="2"/>
          </rPr>
          <t xml:space="preserve">
</t>
        </r>
      </text>
    </comment>
    <comment ref="M25" authorId="0" shapeId="0" xr:uid="{E0DE957B-82B2-4294-9D20-C3CC90CC6544}">
      <text>
        <r>
          <rPr>
            <b/>
            <sz val="9"/>
            <color indexed="81"/>
            <rFont val="Tahoma"/>
            <family val="2"/>
          </rPr>
          <t>Reporter la valeur proposée ou mettre sa propre valeur si jugée plus précise ou en cas de situation non quantifiée (compostage pour les volailles; méthanisation collective)</t>
        </r>
        <r>
          <rPr>
            <sz val="9"/>
            <color indexed="81"/>
            <rFont val="Tahoma"/>
            <family val="2"/>
          </rPr>
          <t xml:space="preserve">
</t>
        </r>
      </text>
    </comment>
    <comment ref="N27" authorId="0" shapeId="0" xr:uid="{231FEE0E-ECFE-4FE9-98B3-2F4923B7E053}">
      <text>
        <r>
          <rPr>
            <b/>
            <sz val="9"/>
            <color indexed="81"/>
            <rFont val="Tahoma"/>
            <family val="2"/>
          </rPr>
          <t xml:space="preserve">Ne renseigner que les places effectivement équipées de raclage à plat.
</t>
        </r>
        <r>
          <rPr>
            <sz val="9"/>
            <color indexed="81"/>
            <rFont val="Tahoma"/>
            <family val="2"/>
          </rPr>
          <t xml:space="preserve">
Référence de coût en engraissement: de 40 (min) à 80 € (max)/place, racleur uniquement (IFIP, 2021).
Compter 350 €HT/place de truie gestante (CRD, comm. Personnelle, 2022).
Pas de références de coût en post-sevrage
</t>
        </r>
      </text>
    </comment>
    <comment ref="H32" authorId="0" shapeId="0" xr:uid="{6348E8C1-B7F8-40FB-BAF2-094C255194ED}">
      <text>
        <r>
          <rPr>
            <b/>
            <sz val="9"/>
            <color indexed="81"/>
            <rFont val="Tahoma"/>
            <family val="2"/>
          </rPr>
          <t>Si la valeur est négative, c'est que que le projet de méthanisation dégage une marge nette (recettes - charges d'exploitations - annuités) positive. Le projet demeure bénéficiaire.</t>
        </r>
      </text>
    </comment>
    <comment ref="M32" authorId="0" shapeId="0" xr:uid="{FE920C22-8D72-4B49-9EC2-F066C2941696}">
      <text>
        <r>
          <rPr>
            <b/>
            <sz val="9"/>
            <color indexed="81"/>
            <rFont val="Tahoma"/>
            <family val="2"/>
          </rPr>
          <t>A titre d'information:
. 32 000 €HT pour un robot aspirateur lisier bovin (Aspi'Concept CRD, 2022)</t>
        </r>
      </text>
    </comment>
    <comment ref="M36" authorId="0" shapeId="0" xr:uid="{4FB40844-43E2-4892-A2DB-7476B89C869A}">
      <text>
        <r>
          <rPr>
            <b/>
            <sz val="9"/>
            <color indexed="81"/>
            <rFont val="Tahoma"/>
            <family val="2"/>
          </rPr>
          <t>Ensemble des investissements - Suggestion: 12 ans</t>
        </r>
      </text>
    </comment>
    <comment ref="M37" authorId="0" shapeId="0" xr:uid="{21BCCF7B-71A8-4C40-A364-31FEC3E5587A}">
      <text>
        <r>
          <rPr>
            <b/>
            <sz val="9"/>
            <color indexed="81"/>
            <rFont val="Tahoma"/>
            <family val="2"/>
          </rPr>
          <t>L'emprunt est considéré à 100 % - Suggestion: 2 %</t>
        </r>
      </text>
    </comment>
    <comment ref="M39" authorId="0" shapeId="0" xr:uid="{1FB961F4-A3CA-48EC-A711-7CF0828274E6}">
      <text>
        <r>
          <rPr>
            <b/>
            <sz val="9"/>
            <color indexed="81"/>
            <rFont val="Tahoma"/>
            <family val="2"/>
          </rPr>
          <t>Ils peuvent être assez variables et très impactant sur les résultats.
Des références ou suggestions sont proposées en notes.</t>
        </r>
      </text>
    </comment>
    <comment ref="M40" authorId="0" shapeId="0" xr:uid="{691B2489-C1C8-4600-921A-515A49B92F78}">
      <text>
        <r>
          <rPr>
            <b/>
            <sz val="9"/>
            <color indexed="81"/>
            <rFont val="Tahoma"/>
            <family val="2"/>
          </rPr>
          <t>5 % selon Bioteau et al (2018)</t>
        </r>
        <r>
          <rPr>
            <sz val="9"/>
            <color indexed="81"/>
            <rFont val="Tahoma"/>
            <family val="2"/>
          </rPr>
          <t xml:space="preserve">
</t>
        </r>
      </text>
    </comment>
    <comment ref="M41" authorId="0" shapeId="0" xr:uid="{E868AB71-42C5-417B-ACFA-3C4E8F15C8BC}">
      <text>
        <r>
          <rPr>
            <b/>
            <sz val="9"/>
            <color indexed="81"/>
            <rFont val="Tahoma"/>
            <family val="2"/>
          </rPr>
          <t>90 % selon Toudic et al (2018)</t>
        </r>
        <r>
          <rPr>
            <sz val="9"/>
            <color indexed="81"/>
            <rFont val="Tahoma"/>
            <family val="2"/>
          </rPr>
          <t xml:space="preserve">
</t>
        </r>
      </text>
    </comment>
    <comment ref="M42" authorId="0" shapeId="0" xr:uid="{EE7A5027-1B53-494E-9127-8A0D465AD587}">
      <text>
        <r>
          <rPr>
            <b/>
            <sz val="9"/>
            <color indexed="81"/>
            <rFont val="Tahoma"/>
            <family val="2"/>
          </rPr>
          <t>Mettre 100 % s'il est bien prévu que la totalité du biogaz collectable (production brute - fuites) subit une combustion. Celle-ci pouvant avoir lieu être hors site d'exploitation (par exemple si méthanisation collective). L'utilisation d'une torchère peut s'avérer nécessaire pour bruler le biogaz excédentaire.
Dans certain cas (notamment en méthanisation psychrophile et pour des besoins thermiques saisonniers), le biogaz excedentaire est libéré dans l'atmosphère. Cette situation peut réduire considérablement l'intérêt environnemental de la méthanisation.</t>
        </r>
        <r>
          <rPr>
            <sz val="9"/>
            <color indexed="81"/>
            <rFont val="Tahoma"/>
            <family val="2"/>
          </rPr>
          <t xml:space="preserve">
</t>
        </r>
      </text>
    </comment>
    <comment ref="M43" authorId="0" shapeId="0" xr:uid="{5099EAFD-DA4F-4B20-A254-740A2499FF3C}">
      <text>
        <r>
          <rPr>
            <b/>
            <sz val="9"/>
            <color indexed="81"/>
            <rFont val="Tahoma"/>
            <family val="2"/>
          </rPr>
          <t xml:space="preserve">Pas de références connues. Suggestion par analogie : taux d'expression de 29 % du potentiel méthanogène pour un lisier stocké 6 mois en fosse extérieure (IPCC, 2019). </t>
        </r>
      </text>
    </comment>
    <comment ref="M44" authorId="0" shapeId="0" xr:uid="{D14EBF2F-9290-4406-87C6-2A04748646E0}">
      <text>
        <r>
          <rPr>
            <b/>
            <sz val="9"/>
            <color indexed="81"/>
            <rFont val="Tahoma"/>
            <family val="2"/>
          </rPr>
          <t>De 78 % (DIGES 2.0, 2009) à plus de 100 % selon les sources.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Nicolas Queral</author>
    <author>Pascal Levasseur</author>
  </authors>
  <commentList>
    <comment ref="N2" authorId="0" shapeId="0" xr:uid="{E5B95270-DD2B-443B-ABF8-226BF96BFCF2}">
      <text>
        <r>
          <rPr>
            <b/>
            <sz val="9"/>
            <color indexed="81"/>
            <rFont val="Tahoma"/>
            <family val="2"/>
          </rPr>
          <t>Nicolas Queral:</t>
        </r>
        <r>
          <rPr>
            <sz val="9"/>
            <color indexed="81"/>
            <rFont val="Tahoma"/>
            <family val="2"/>
          </rPr>
          <t xml:space="preserve">
Mettre les bons BMP issue de ABILE à terme.</t>
        </r>
      </text>
    </comment>
    <comment ref="I6" authorId="1" shapeId="0" xr:uid="{C5DD10B1-9838-47A0-BF4C-10BF2B7346D3}">
      <text>
        <r>
          <rPr>
            <b/>
            <sz val="9"/>
            <color indexed="81"/>
            <rFont val="Tahoma"/>
            <family val="2"/>
          </rPr>
          <t>Les coefficients attribuées pour les filières méthanisation correspondent à la fraction émise uniquement en bâtiment</t>
        </r>
      </text>
    </comment>
    <comment ref="AK6" authorId="0" shapeId="0" xr:uid="{25D2109E-5D05-4AA0-A4B1-26B905A54CEB}">
      <text>
        <r>
          <rPr>
            <b/>
            <sz val="9"/>
            <color indexed="81"/>
            <rFont val="Tahoma"/>
            <family val="2"/>
          </rPr>
          <t>Nicolas Queral:</t>
        </r>
        <r>
          <rPr>
            <sz val="9"/>
            <color indexed="81"/>
            <rFont val="Tahoma"/>
            <family val="2"/>
          </rPr>
          <t xml:space="preserve">
= pertes + émissions torchage
= 0,05*VCH4*rhoCH4 + 0,02*FE(CH4)torchage*Vbiogaz</t>
        </r>
      </text>
    </comment>
    <comment ref="AL6" authorId="0" shapeId="0" xr:uid="{147512DE-A422-49E2-B3F0-1CFAF05B0D4A}">
      <text>
        <r>
          <rPr>
            <b/>
            <sz val="9"/>
            <color indexed="81"/>
            <rFont val="Tahoma"/>
            <family val="2"/>
          </rPr>
          <t>Nicolas Queral:</t>
        </r>
        <r>
          <rPr>
            <sz val="9"/>
            <color indexed="81"/>
            <rFont val="Tahoma"/>
            <family val="2"/>
          </rPr>
          <t xml:space="preserve">
=0,05*Vbiogaz*TxNH3Biogaz*rho(NH3)</t>
        </r>
      </text>
    </comment>
    <comment ref="AS6" authorId="1" shapeId="0" xr:uid="{E148CF7A-06B7-4693-89C3-90F822037AF4}">
      <text>
        <r>
          <rPr>
            <sz val="9"/>
            <color indexed="81"/>
            <rFont val="Tahoma"/>
            <family val="2"/>
          </rPr>
          <t>D</t>
        </r>
        <r>
          <rPr>
            <sz val="12"/>
            <color indexed="81"/>
            <rFont val="Tahoma"/>
            <family val="2"/>
          </rPr>
          <t>éjà comptabilisé dans les FE bâtiment ET stockage pour les effluents bruts</t>
        </r>
        <r>
          <rPr>
            <sz val="9"/>
            <color indexed="81"/>
            <rFont val="Tahoma"/>
            <family val="2"/>
          </rPr>
          <t xml:space="preserve">
</t>
        </r>
      </text>
    </comment>
    <comment ref="AT6" authorId="1" shapeId="0" xr:uid="{8F3A2A64-6136-43AA-9492-579987A42674}">
      <text>
        <r>
          <rPr>
            <sz val="9"/>
            <color indexed="81"/>
            <rFont val="Tahoma"/>
            <family val="2"/>
          </rPr>
          <t>Déjà comptabilisé dans les FE bâtiment ET stockage pour les effluents bruts</t>
        </r>
      </text>
    </comment>
    <comment ref="AX6" authorId="1" shapeId="0" xr:uid="{49829A9A-DD01-422C-9964-4D02088ECCB2}">
      <text>
        <r>
          <rPr>
            <b/>
            <sz val="9"/>
            <color indexed="81"/>
            <rFont val="Tahoma"/>
            <family val="2"/>
          </rPr>
          <t>Les 2 coefficients sont respectivement le FE du N-NH3 pour les différentes catégories d'effluent et le taux d'abattement lié aux modalités d'épandage.</t>
        </r>
      </text>
    </comment>
    <comment ref="B11" authorId="0" shapeId="0" xr:uid="{6B893E91-AB9B-4024-BDD2-0AE60293BFB8}">
      <text>
        <r>
          <rPr>
            <b/>
            <sz val="9"/>
            <color indexed="81"/>
            <rFont val="Tahoma"/>
            <family val="2"/>
          </rPr>
          <t>Nicolas Queral:</t>
        </r>
        <r>
          <rPr>
            <sz val="9"/>
            <color indexed="81"/>
            <rFont val="Tahoma"/>
            <family val="2"/>
          </rPr>
          <t xml:space="preserve">
Intègre les PAG</t>
        </r>
      </text>
    </comment>
    <comment ref="Y12" authorId="1" shapeId="0" xr:uid="{AF42D0C8-5B8C-4BF2-9FBD-9982504251BA}">
      <text>
        <r>
          <rPr>
            <b/>
            <sz val="9"/>
            <color indexed="81"/>
            <rFont val="Tahoma"/>
            <family val="2"/>
          </rPr>
          <t>Perte de 25 % du N lors du compostage</t>
        </r>
      </text>
    </comment>
    <comment ref="AU12" authorId="1" shapeId="0" xr:uid="{4FE25E2A-3888-437B-AAF9-D80330B69E7C}">
      <text>
        <r>
          <rPr>
            <b/>
            <sz val="9"/>
            <color indexed="81"/>
            <rFont val="Tahoma"/>
            <family val="2"/>
          </rPr>
          <t>Le compost est stabilisé</t>
        </r>
      </text>
    </comment>
    <comment ref="Y15" authorId="1" shapeId="0" xr:uid="{5670F0E9-4AE1-4BB9-A058-FE4A2FB5322F}">
      <text>
        <r>
          <rPr>
            <b/>
            <sz val="9"/>
            <color indexed="81"/>
            <rFont val="Tahoma"/>
            <family val="2"/>
          </rPr>
          <t>Perte de 25 % de l'azote au compostage</t>
        </r>
      </text>
    </comment>
    <comment ref="AU15" authorId="1" shapeId="0" xr:uid="{0208EA84-5311-4215-8AD3-AE4D48E1D184}">
      <text>
        <r>
          <rPr>
            <b/>
            <sz val="9"/>
            <color indexed="81"/>
            <rFont val="Tahoma"/>
            <family val="2"/>
          </rPr>
          <t>Le compost est stabilisé</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Nicolas Queral</author>
    <author>Pascal Levasseur</author>
  </authors>
  <commentList>
    <comment ref="W10" authorId="0" shapeId="0" xr:uid="{E5B5C5FA-6D0E-4A43-8DAE-77FE2229E093}">
      <text>
        <r>
          <rPr>
            <b/>
            <sz val="9"/>
            <color indexed="81"/>
            <rFont val="Tahoma"/>
            <family val="2"/>
          </rPr>
          <t>Nicolas Queral:</t>
        </r>
        <r>
          <rPr>
            <sz val="9"/>
            <color indexed="81"/>
            <rFont val="Tahoma"/>
            <family val="2"/>
          </rPr>
          <t xml:space="preserve">
Nécessite la quantité de lisier produite par animal</t>
        </r>
      </text>
    </comment>
    <comment ref="AC10" authorId="0" shapeId="0" xr:uid="{4EB9CE5A-72AD-4C4B-B1EE-D17A1E9B5733}">
      <text>
        <r>
          <rPr>
            <b/>
            <sz val="9"/>
            <color indexed="81"/>
            <rFont val="Tahoma"/>
            <family val="2"/>
          </rPr>
          <t>Nicolas Queral:</t>
        </r>
        <r>
          <rPr>
            <sz val="9"/>
            <color indexed="81"/>
            <rFont val="Tahoma"/>
            <family val="2"/>
          </rPr>
          <t xml:space="preserve">
= pertes + émissions torchage
= 0,05*VCH4*rhoCH4 + 0,02*FE(CH4)torchage*Vbiogaz</t>
        </r>
      </text>
    </comment>
    <comment ref="AD10" authorId="0" shapeId="0" xr:uid="{5E243F7C-47C6-4AF0-AC60-C5F4C5BC7F8F}">
      <text>
        <r>
          <rPr>
            <b/>
            <sz val="9"/>
            <color indexed="81"/>
            <rFont val="Tahoma"/>
            <family val="2"/>
          </rPr>
          <t>Nicolas Queral:</t>
        </r>
        <r>
          <rPr>
            <sz val="9"/>
            <color indexed="81"/>
            <rFont val="Tahoma"/>
            <family val="2"/>
          </rPr>
          <t xml:space="preserve">
=0,05*Vbiogaz*TxNH3Biogaz*rho(NH3)</t>
        </r>
      </text>
    </comment>
    <comment ref="AM10" authorId="0" shapeId="0" xr:uid="{8B131F43-C1F0-4141-9F0E-DD9C7C427C62}">
      <text>
        <r>
          <rPr>
            <b/>
            <sz val="9"/>
            <color indexed="81"/>
            <rFont val="Tahoma"/>
            <family val="2"/>
          </rPr>
          <t>Nicolas Queral:</t>
        </r>
        <r>
          <rPr>
            <sz val="9"/>
            <color indexed="81"/>
            <rFont val="Tahoma"/>
            <family val="2"/>
          </rPr>
          <t xml:space="preserve">
Emission au stockage du digestat pris en compte précedemment dans les 3,9 %</t>
        </r>
      </text>
    </comment>
    <comment ref="AP10" authorId="1" shapeId="0" xr:uid="{CECA932A-06D4-4BA5-83F9-0847628596A8}">
      <text>
        <r>
          <rPr>
            <b/>
            <sz val="9"/>
            <color indexed="81"/>
            <rFont val="Tahoma"/>
            <family val="2"/>
          </rPr>
          <t>Voir guide méthodologique pour explication des coefficients d'abattement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Nicolas Queral</author>
    <author>Pascal Levasseur</author>
  </authors>
  <commentList>
    <comment ref="F3" authorId="0" shapeId="0" xr:uid="{FA0F241D-D568-4062-AAF5-B9A20698C8B2}">
      <text>
        <r>
          <rPr>
            <b/>
            <sz val="9"/>
            <color indexed="81"/>
            <rFont val="Tahoma"/>
            <family val="2"/>
          </rPr>
          <t>Nicolas Queral:</t>
        </r>
        <r>
          <rPr>
            <sz val="9"/>
            <color indexed="81"/>
            <rFont val="Tahoma"/>
            <family val="2"/>
          </rPr>
          <t xml:space="preserve">
Conversion de la MV en MO et vice-versa</t>
        </r>
      </text>
    </comment>
    <comment ref="H3" authorId="0" shapeId="0" xr:uid="{0EAFC686-BF26-447E-B486-9996FDD63495}">
      <text>
        <r>
          <rPr>
            <b/>
            <sz val="9"/>
            <color indexed="81"/>
            <rFont val="Tahoma"/>
            <family val="2"/>
          </rPr>
          <t>Nicolas Queral:</t>
        </r>
        <r>
          <rPr>
            <sz val="9"/>
            <color indexed="81"/>
            <rFont val="Tahoma"/>
            <family val="2"/>
          </rPr>
          <t xml:space="preserve">
Soit on suit Gestim et on met 0 pour l'évacuation fréquente, soit on suit RMT 
Point de vigilance particulier sur les litières.</t>
        </r>
      </text>
    </comment>
    <comment ref="L3" authorId="0" shapeId="0" xr:uid="{0F7AE8C7-076D-45CC-92B4-4B9C9BAC2C75}">
      <text>
        <r>
          <rPr>
            <b/>
            <sz val="9"/>
            <color indexed="81"/>
            <rFont val="Tahoma"/>
            <family val="2"/>
          </rPr>
          <t>Nicolas Queral:</t>
        </r>
        <r>
          <rPr>
            <sz val="9"/>
            <color indexed="81"/>
            <rFont val="Tahoma"/>
            <family val="2"/>
          </rPr>
          <t xml:space="preserve">
70 % de l'azote total stocké mais ce serait pas plus logique de faire </t>
        </r>
        <r>
          <rPr>
            <b/>
            <sz val="9"/>
            <color indexed="81"/>
            <rFont val="Tahoma"/>
            <family val="2"/>
          </rPr>
          <t>TAN excrétée - emissions de NH3*facteur de conversion NH3 en N-NH3 ?</t>
        </r>
      </text>
    </comment>
    <comment ref="M3" authorId="0" shapeId="0" xr:uid="{78A7AE3D-2EA6-4D54-8794-EF0D38920C59}">
      <text>
        <r>
          <rPr>
            <b/>
            <sz val="9"/>
            <color indexed="81"/>
            <rFont val="Tahoma"/>
            <family val="2"/>
          </rPr>
          <t>Nicolas Queral:</t>
        </r>
        <r>
          <rPr>
            <sz val="9"/>
            <color indexed="81"/>
            <rFont val="Tahoma"/>
            <family val="2"/>
          </rPr>
          <t xml:space="preserve">
BMP récupéré sur la base de Données ABILE mais parfois pas clair et il manque des infos</t>
        </r>
      </text>
    </comment>
    <comment ref="O3" authorId="0" shapeId="0" xr:uid="{FEB5218B-2B7F-4570-8FB5-02803249BECF}">
      <text>
        <r>
          <rPr>
            <b/>
            <sz val="9"/>
            <color indexed="81"/>
            <rFont val="Tahoma"/>
            <family val="2"/>
          </rPr>
          <t>Nicolas Queral:</t>
        </r>
        <r>
          <rPr>
            <sz val="9"/>
            <color indexed="81"/>
            <rFont val="Tahoma"/>
            <family val="2"/>
          </rPr>
          <t xml:space="preserve">
Est-ce que ce serait pas plus logique de faire N résiduel = N excrété - (N2O + NH3) multiplié par leur facteurs de conversion respectifs
</t>
        </r>
      </text>
    </comment>
    <comment ref="T3" authorId="0" shapeId="0" xr:uid="{3FEB4EB9-1416-4363-BE26-B465AE8D096F}">
      <text>
        <r>
          <rPr>
            <b/>
            <sz val="9"/>
            <color indexed="81"/>
            <rFont val="Tahoma"/>
            <family val="2"/>
          </rPr>
          <t>Nicolas Queral:</t>
        </r>
        <r>
          <rPr>
            <sz val="9"/>
            <color indexed="81"/>
            <rFont val="Tahoma"/>
            <family val="2"/>
          </rPr>
          <t xml:space="preserve">
5 % de la production de N2O dans le méthaniseur.</t>
        </r>
      </text>
    </comment>
    <comment ref="U3" authorId="0" shapeId="0" xr:uid="{311FDADC-277E-49FC-86B8-922FB7E41F5C}">
      <text>
        <r>
          <rPr>
            <b/>
            <sz val="9"/>
            <color indexed="81"/>
            <rFont val="Tahoma"/>
            <family val="2"/>
          </rPr>
          <t>Nicolas Queral:</t>
        </r>
        <r>
          <rPr>
            <sz val="9"/>
            <color indexed="81"/>
            <rFont val="Tahoma"/>
            <family val="2"/>
          </rPr>
          <t xml:space="preserve">
Pour les torchères j'ai compté l'ensemble des émissions de méthane ici.
Pour les autres une petite partie (2%) du biogaz est brulé en torchère, ces émissions sont comptabilisées ici</t>
        </r>
      </text>
    </comment>
    <comment ref="Y3" authorId="0" shapeId="0" xr:uid="{D0AFCA27-4AEC-44AD-8AB9-30E7EDF920A3}">
      <text>
        <r>
          <rPr>
            <b/>
            <sz val="9"/>
            <color indexed="81"/>
            <rFont val="Tahoma"/>
            <family val="2"/>
          </rPr>
          <t>Nicolas Queral:</t>
        </r>
        <r>
          <rPr>
            <sz val="9"/>
            <color indexed="81"/>
            <rFont val="Tahoma"/>
            <family val="2"/>
          </rPr>
          <t xml:space="preserve">
Manque le facteur FCN_MV pour les émissions de la valorisation biométhane</t>
        </r>
      </text>
    </comment>
    <comment ref="AA3" authorId="0" shapeId="0" xr:uid="{D0A7F432-8C15-4E70-9352-ECFEF4FF44B4}">
      <text>
        <r>
          <rPr>
            <b/>
            <sz val="9"/>
            <color indexed="81"/>
            <rFont val="Tahoma"/>
            <family val="2"/>
          </rPr>
          <t>Nicolas Queral:</t>
        </r>
        <r>
          <rPr>
            <sz val="9"/>
            <color indexed="81"/>
            <rFont val="Tahoma"/>
            <family val="2"/>
          </rPr>
          <t xml:space="preserve">
TAN de départ + 74 % du N qui a été ajoutée durant la métha</t>
        </r>
      </text>
    </comment>
    <comment ref="AE3" authorId="0" shapeId="0" xr:uid="{D8EDD492-09C4-4A18-97BD-6601F68BBF96}">
      <text>
        <r>
          <rPr>
            <b/>
            <sz val="9"/>
            <color indexed="81"/>
            <rFont val="Tahoma"/>
            <family val="2"/>
          </rPr>
          <t>Nicolas Queral:</t>
        </r>
        <r>
          <rPr>
            <sz val="9"/>
            <color indexed="81"/>
            <rFont val="Tahoma"/>
            <family val="2"/>
          </rPr>
          <t xml:space="preserve">
Digestat brut ici</t>
        </r>
      </text>
    </comment>
    <comment ref="AG3" authorId="0" shapeId="0" xr:uid="{13DE903A-FEBE-4294-B662-D04C921DA02D}">
      <text>
        <r>
          <rPr>
            <b/>
            <sz val="9"/>
            <color indexed="81"/>
            <rFont val="Tahoma"/>
            <family val="2"/>
          </rPr>
          <t>Nicolas Queral:</t>
        </r>
        <r>
          <rPr>
            <sz val="9"/>
            <color indexed="81"/>
            <rFont val="Tahoma"/>
            <family val="2"/>
          </rPr>
          <t xml:space="preserve">
Le FE est à revoir d'ici la réunion du 25 mai</t>
        </r>
      </text>
    </comment>
    <comment ref="T5" authorId="1" shapeId="0" xr:uid="{0F2E226F-F189-4F8B-AA1B-3CFDFFC6CDFA}">
      <text>
        <r>
          <rPr>
            <b/>
            <sz val="9"/>
            <color indexed="81"/>
            <rFont val="Tahoma"/>
            <family val="2"/>
          </rPr>
          <t>Emissions atmosphériques</t>
        </r>
      </text>
    </comment>
    <comment ref="AE5" authorId="0" shapeId="0" xr:uid="{1180040B-44D5-4B66-AC3B-D41BF2534E1E}">
      <text>
        <r>
          <rPr>
            <b/>
            <sz val="9"/>
            <color indexed="81"/>
            <rFont val="Tahoma"/>
            <family val="2"/>
          </rPr>
          <t>Nicolas Queral:</t>
        </r>
        <r>
          <rPr>
            <sz val="9"/>
            <color indexed="81"/>
            <rFont val="Tahoma"/>
            <family val="2"/>
          </rPr>
          <t xml:space="preserve">
Version LBC métha</t>
        </r>
      </text>
    </comment>
    <comment ref="V7" authorId="1" shapeId="0" xr:uid="{CD38CB6A-4CE2-48DC-B892-F9E94599F758}">
      <text>
        <r>
          <rPr>
            <b/>
            <sz val="9"/>
            <color indexed="81"/>
            <rFont val="Tahoma"/>
            <family val="2"/>
          </rPr>
          <t>Négligé (voir ce que cela donne pour les bovins si nécessaire)</t>
        </r>
      </text>
    </comment>
    <comment ref="AI7" authorId="1" shapeId="0" xr:uid="{83B9E763-A11F-46F7-B23B-9FD933F90E60}">
      <text>
        <r>
          <rPr>
            <b/>
            <sz val="9"/>
            <color indexed="81"/>
            <rFont val="Tahoma"/>
            <family val="2"/>
          </rPr>
          <t>Voir guide méthodologique pour explication des 2 coefficients d'abattement</t>
        </r>
      </text>
    </comment>
    <comment ref="D8" authorId="1" shapeId="0" xr:uid="{8B92E3C8-2823-4108-98B7-1ED8D16971A9}">
      <text>
        <r>
          <rPr>
            <sz val="9"/>
            <color indexed="81"/>
            <rFont val="Tahoma"/>
            <family val="2"/>
          </rPr>
          <t xml:space="preserve">
Valeurs retenues suite échange avec Annie le 6/09/2022. 
, 194 kg MO/truie présente
, 5,62 kg MO/PP (x 6,5 pour l'excrétion annuelle à la place de porcelet)
,40,67 kg MO/PCP ( x 3 pour l'excrétion annuelle à la place de PC)
</t>
        </r>
      </text>
    </comment>
    <comment ref="T8" authorId="1" shapeId="0" xr:uid="{C6605B39-659A-4963-801E-BACC55C2A626}">
      <text>
        <r>
          <rPr>
            <sz val="9"/>
            <color indexed="81"/>
            <rFont val="Tahoma"/>
            <family val="2"/>
          </rPr>
          <t xml:space="preserve">
Les FE directes de N2O sont nulles.
</t>
        </r>
      </text>
    </comment>
    <comment ref="AE8" authorId="1" shapeId="0" xr:uid="{A27A382C-AFD3-4848-A1A0-FBFE7FA97623}">
      <text>
        <r>
          <rPr>
            <b/>
            <sz val="9"/>
            <color indexed="81"/>
            <rFont val="Tahoma"/>
            <family val="2"/>
          </rPr>
          <t xml:space="preserve">FE du N2O = 0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Pascal Levasseur</author>
    <author>Nicolas Queral</author>
  </authors>
  <commentList>
    <comment ref="J12" authorId="0" shapeId="0" xr:uid="{82A1DE62-D1BD-4D06-921C-B4A021677381}">
      <text>
        <r>
          <rPr>
            <b/>
            <sz val="9"/>
            <color indexed="81"/>
            <rFont val="Tahoma"/>
            <charset val="1"/>
          </rPr>
          <t xml:space="preserve">PRG de 25 et 298 pour l'IPCC 2019. Là se sont les nouvelles valeurs pour l'IPCC 2020 (échange avec Annie datant du 13/09/22). Valeurs qui demeurent encore contradictoires avec celles d'Agribalyse: PRG de 34 pour le méthane où des émissions radiatives supplémentaires sont prises en compte. </t>
        </r>
      </text>
    </comment>
    <comment ref="J14" authorId="0" shapeId="0" xr:uid="{0BFFC22F-4ED6-4591-90E6-E096705AC7C2}">
      <text>
        <r>
          <rPr>
            <b/>
            <sz val="9"/>
            <color indexed="81"/>
            <rFont val="Tahoma"/>
            <charset val="1"/>
          </rPr>
          <t>Voir note pour le CH4</t>
        </r>
      </text>
    </comment>
    <comment ref="E23" authorId="1" shapeId="0" xr:uid="{00000000-0006-0000-0100-000001000000}">
      <text>
        <r>
          <rPr>
            <b/>
            <sz val="9"/>
            <color indexed="81"/>
            <rFont val="Tahoma"/>
            <family val="2"/>
          </rPr>
          <t>Nicolas Queral</t>
        </r>
      </text>
    </comment>
    <comment ref="J26" authorId="1" shapeId="0" xr:uid="{00000000-0006-0000-0100-000002000000}">
      <text>
        <r>
          <rPr>
            <b/>
            <sz val="9"/>
            <color indexed="81"/>
            <rFont val="Tahoma"/>
            <family val="2"/>
          </rPr>
          <t>Nicolas Queral:</t>
        </r>
        <r>
          <rPr>
            <sz val="9"/>
            <color indexed="81"/>
            <rFont val="Tahoma"/>
            <family val="2"/>
          </rPr>
          <t xml:space="preserve">
Source : Bilan GES de l’Ademe, méthode dite « saisonnalisée par usage ».</t>
        </r>
      </text>
    </comment>
    <comment ref="E28" authorId="1" shapeId="0" xr:uid="{00000000-0006-0000-0100-000003000000}">
      <text>
        <r>
          <rPr>
            <b/>
            <sz val="9"/>
            <color indexed="81"/>
            <rFont val="Tahoma"/>
            <family val="2"/>
          </rPr>
          <t>Nicolas Queral:</t>
        </r>
        <r>
          <rPr>
            <sz val="9"/>
            <color indexed="81"/>
            <rFont val="Tahoma"/>
            <family val="2"/>
          </rPr>
          <t xml:space="preserve">
source : rapport de thomas IPCC</t>
        </r>
      </text>
    </comment>
    <comment ref="E30" authorId="1" shapeId="0" xr:uid="{00000000-0006-0000-0100-000004000000}">
      <text>
        <r>
          <rPr>
            <b/>
            <sz val="9"/>
            <color indexed="81"/>
            <rFont val="Tahoma"/>
            <family val="2"/>
          </rPr>
          <t>Nicolas Queral:</t>
        </r>
        <r>
          <rPr>
            <sz val="9"/>
            <color indexed="81"/>
            <rFont val="Tahoma"/>
            <family val="2"/>
          </rPr>
          <t xml:space="preserve">
source : rapport de thomas IPCC
</t>
        </r>
      </text>
    </comment>
    <comment ref="J31" authorId="0" shapeId="0" xr:uid="{8F80CC58-F961-4838-9A42-C6EB780B1936}">
      <text>
        <r>
          <rPr>
            <b/>
            <sz val="9"/>
            <color indexed="81"/>
            <rFont val="Tahoma"/>
            <family val="2"/>
          </rPr>
          <t>Pascal Levasseur:</t>
        </r>
        <r>
          <rPr>
            <sz val="9"/>
            <color indexed="81"/>
            <rFont val="Tahoma"/>
            <family val="2"/>
          </rPr>
          <t xml:space="preserve">
OK</t>
        </r>
      </text>
    </comment>
    <comment ref="J33" authorId="0" shapeId="0" xr:uid="{781149EC-1A1D-41D5-8585-B375119EEFFA}">
      <text>
        <r>
          <rPr>
            <b/>
            <sz val="9"/>
            <color indexed="81"/>
            <rFont val="Tahoma"/>
            <family val="2"/>
          </rPr>
          <t>Pascal Levasseur:</t>
        </r>
        <r>
          <rPr>
            <sz val="9"/>
            <color indexed="81"/>
            <rFont val="Tahoma"/>
            <family val="2"/>
          </rPr>
          <t xml:space="preserve">
OK, vérifié</t>
        </r>
      </text>
    </comment>
    <comment ref="E49" authorId="1" shapeId="0" xr:uid="{00000000-0006-0000-0100-000008000000}">
      <text>
        <r>
          <rPr>
            <b/>
            <sz val="9"/>
            <color indexed="81"/>
            <rFont val="Tahoma"/>
            <family val="2"/>
          </rPr>
          <t>Nicolas Queral:</t>
        </r>
        <r>
          <rPr>
            <sz val="9"/>
            <color indexed="81"/>
            <rFont val="Tahoma"/>
            <family val="2"/>
          </rPr>
          <t xml:space="preserve">
Pas sûr, Annie a envoyé par mail 0,4% du N mais dans Gestim+ il y a marqué 0,02 kg/kg de N excrété</t>
        </r>
      </text>
    </comment>
    <comment ref="E50" authorId="1" shapeId="0" xr:uid="{00000000-0006-0000-0100-000009000000}">
      <text>
        <r>
          <rPr>
            <b/>
            <sz val="9"/>
            <color indexed="81"/>
            <rFont val="Tahoma"/>
            <family val="2"/>
          </rPr>
          <t>Nicolas Queral:</t>
        </r>
        <r>
          <rPr>
            <sz val="9"/>
            <color indexed="81"/>
            <rFont val="Tahoma"/>
            <family val="2"/>
          </rPr>
          <t xml:space="preserve">
source : Rapport de Thomas</t>
        </r>
      </text>
    </comment>
    <comment ref="E63" authorId="1" shapeId="0" xr:uid="{00000000-0006-0000-0100-00000A000000}">
      <text>
        <r>
          <rPr>
            <b/>
            <sz val="9"/>
            <color indexed="81"/>
            <rFont val="Tahoma"/>
            <family val="2"/>
          </rPr>
          <t>Nicolas Queral:</t>
        </r>
        <r>
          <rPr>
            <sz val="9"/>
            <color indexed="81"/>
            <rFont val="Tahoma"/>
            <family val="2"/>
          </rPr>
          <t xml:space="preserve">
source : Annie SOULIER
</t>
        </r>
      </text>
    </comment>
    <comment ref="E71" authorId="1" shapeId="0" xr:uid="{00000000-0006-0000-0100-00000B000000}">
      <text>
        <r>
          <rPr>
            <b/>
            <sz val="9"/>
            <color indexed="81"/>
            <rFont val="Tahoma"/>
            <family val="2"/>
          </rPr>
          <t>Nicolas Queral:</t>
        </r>
        <r>
          <rPr>
            <sz val="9"/>
            <color indexed="81"/>
            <rFont val="Tahoma"/>
            <family val="2"/>
          </rPr>
          <t xml:space="preserve">
source : Référence rejets porcs RMT élevage</t>
        </r>
      </text>
    </comment>
    <comment ref="E72" authorId="1" shapeId="0" xr:uid="{00000000-0006-0000-0100-00000C000000}">
      <text>
        <r>
          <rPr>
            <b/>
            <sz val="9"/>
            <color indexed="81"/>
            <rFont val="Tahoma"/>
            <family val="2"/>
          </rPr>
          <t>Nicolas Queral:</t>
        </r>
        <r>
          <rPr>
            <sz val="9"/>
            <color indexed="81"/>
            <rFont val="Tahoma"/>
            <family val="2"/>
          </rPr>
          <t xml:space="preserve">
source : Référence rejets porcs RMT élevage</t>
        </r>
      </text>
    </comment>
    <comment ref="E75" authorId="1" shapeId="0" xr:uid="{00000000-0006-0000-0100-00000D000000}">
      <text>
        <r>
          <rPr>
            <b/>
            <sz val="9"/>
            <color indexed="81"/>
            <rFont val="Tahoma"/>
            <family val="2"/>
          </rPr>
          <t>Nicolas Queral:</t>
        </r>
        <r>
          <rPr>
            <sz val="9"/>
            <color indexed="81"/>
            <rFont val="Tahoma"/>
            <family val="2"/>
          </rPr>
          <t xml:space="preserve">
BDD ABILE</t>
        </r>
      </text>
    </comment>
    <comment ref="E76" authorId="1" shapeId="0" xr:uid="{00000000-0006-0000-0100-00000E000000}">
      <text>
        <r>
          <rPr>
            <b/>
            <sz val="9"/>
            <color indexed="81"/>
            <rFont val="Tahoma"/>
            <family val="2"/>
          </rPr>
          <t>Nicolas Queral:</t>
        </r>
        <r>
          <rPr>
            <sz val="9"/>
            <color indexed="81"/>
            <rFont val="Tahoma"/>
            <family val="2"/>
          </rPr>
          <t xml:space="preserve">
Ligne 10</t>
        </r>
      </text>
    </comment>
    <comment ref="E77" authorId="1" shapeId="0" xr:uid="{00000000-0006-0000-0100-00000F000000}">
      <text>
        <r>
          <rPr>
            <b/>
            <sz val="9"/>
            <color indexed="81"/>
            <rFont val="Tahoma"/>
            <family val="2"/>
          </rPr>
          <t>Nicolas Queral:</t>
        </r>
        <r>
          <rPr>
            <sz val="9"/>
            <color indexed="81"/>
            <rFont val="Tahoma"/>
            <family val="2"/>
          </rPr>
          <t xml:space="preserve">
source : BDD ABILE
</t>
        </r>
      </text>
    </comment>
    <comment ref="E78" authorId="1" shapeId="0" xr:uid="{259A0BE0-7A59-4BDE-AF0B-A52F6B83D99C}">
      <text>
        <r>
          <rPr>
            <b/>
            <sz val="9"/>
            <color indexed="81"/>
            <rFont val="Tahoma"/>
            <family val="2"/>
          </rPr>
          <t>Nicolas Queral:</t>
        </r>
        <r>
          <rPr>
            <sz val="9"/>
            <color indexed="81"/>
            <rFont val="Tahoma"/>
            <family val="2"/>
          </rPr>
          <t xml:space="preserve">
source : Donnée ABILE</t>
        </r>
      </text>
    </comment>
    <comment ref="E79" authorId="1" shapeId="0" xr:uid="{00000000-0006-0000-0100-000010000000}">
      <text>
        <r>
          <rPr>
            <b/>
            <sz val="9"/>
            <color indexed="81"/>
            <rFont val="Tahoma"/>
            <family val="2"/>
          </rPr>
          <t>Nicolas Queral:</t>
        </r>
        <r>
          <rPr>
            <sz val="9"/>
            <color indexed="81"/>
            <rFont val="Tahoma"/>
            <family val="2"/>
          </rPr>
          <t xml:space="preserve">
Ligne 22</t>
        </r>
      </text>
    </comment>
    <comment ref="E81" authorId="1" shapeId="0" xr:uid="{00000000-0006-0000-0100-000011000000}">
      <text>
        <r>
          <rPr>
            <b/>
            <sz val="9"/>
            <color indexed="81"/>
            <rFont val="Tahoma"/>
            <family val="2"/>
          </rPr>
          <t>Nicolas Queral:</t>
        </r>
        <r>
          <rPr>
            <sz val="9"/>
            <color indexed="81"/>
            <rFont val="Tahoma"/>
            <family val="2"/>
          </rPr>
          <t xml:space="preserve">
source : BDD ABILE</t>
        </r>
      </text>
    </comment>
    <comment ref="E82" authorId="1" shapeId="0" xr:uid="{00000000-0006-0000-0100-000012000000}">
      <text>
        <r>
          <rPr>
            <b/>
            <sz val="9"/>
            <color indexed="81"/>
            <rFont val="Tahoma"/>
            <family val="2"/>
          </rPr>
          <t>Nicolas Queral:</t>
        </r>
        <r>
          <rPr>
            <sz val="9"/>
            <color indexed="81"/>
            <rFont val="Tahoma"/>
            <family val="2"/>
          </rPr>
          <t xml:space="preserve">
Ligne 4</t>
        </r>
      </text>
    </comment>
    <comment ref="E85" authorId="1" shapeId="0" xr:uid="{00000000-0006-0000-0100-000013000000}">
      <text>
        <r>
          <rPr>
            <b/>
            <sz val="9"/>
            <color indexed="81"/>
            <rFont val="Tahoma"/>
            <family val="2"/>
          </rPr>
          <t>Nicolas Queral:</t>
        </r>
        <r>
          <rPr>
            <sz val="9"/>
            <color indexed="81"/>
            <rFont val="Tahoma"/>
            <family val="2"/>
          </rPr>
          <t xml:space="preserve">
Ligne 23</t>
        </r>
      </text>
    </comment>
    <comment ref="E86" authorId="1" shapeId="0" xr:uid="{00000000-0006-0000-0100-000014000000}">
      <text>
        <r>
          <rPr>
            <b/>
            <sz val="9"/>
            <color indexed="81"/>
            <rFont val="Tahoma"/>
            <family val="2"/>
          </rPr>
          <t>Nicolas Queral:</t>
        </r>
        <r>
          <rPr>
            <sz val="9"/>
            <color indexed="81"/>
            <rFont val="Tahoma"/>
            <family val="2"/>
          </rPr>
          <t xml:space="preserve">
Ligne 18</t>
        </r>
      </text>
    </comment>
    <comment ref="E87" authorId="1" shapeId="0" xr:uid="{00000000-0006-0000-0100-000015000000}">
      <text>
        <r>
          <rPr>
            <b/>
            <sz val="9"/>
            <color indexed="81"/>
            <rFont val="Tahoma"/>
            <family val="2"/>
          </rPr>
          <t>Nicolas Queral:</t>
        </r>
        <r>
          <rPr>
            <sz val="9"/>
            <color indexed="81"/>
            <rFont val="Tahoma"/>
            <family val="2"/>
          </rPr>
          <t xml:space="preserve">
Source : BDD finale</t>
        </r>
      </text>
    </comment>
    <comment ref="E89" authorId="1" shapeId="0" xr:uid="{00000000-0006-0000-0100-000016000000}">
      <text>
        <r>
          <rPr>
            <b/>
            <sz val="9"/>
            <color indexed="81"/>
            <rFont val="Tahoma"/>
            <family val="2"/>
          </rPr>
          <t>Nicolas Queral:</t>
        </r>
        <r>
          <rPr>
            <sz val="9"/>
            <color indexed="81"/>
            <rFont val="Tahoma"/>
            <family val="2"/>
          </rPr>
          <t xml:space="preserve">
source : Emission d’ammoniac liée au stockage de lisier de porcs : résultats de laboratoire et de terrain</t>
        </r>
      </text>
    </comment>
    <comment ref="E90" authorId="1" shapeId="0" xr:uid="{00000000-0006-0000-0100-000017000000}">
      <text>
        <r>
          <rPr>
            <b/>
            <sz val="9"/>
            <color indexed="81"/>
            <rFont val="Tahoma"/>
            <family val="2"/>
          </rPr>
          <t>Nicolas Queral:</t>
        </r>
        <r>
          <rPr>
            <sz val="9"/>
            <color indexed="81"/>
            <rFont val="Tahoma"/>
            <family val="2"/>
          </rPr>
          <t xml:space="preserve">
source : RMT élevage référence des rejets</t>
        </r>
      </text>
    </comment>
    <comment ref="E91" authorId="1" shapeId="0" xr:uid="{00000000-0006-0000-0100-000018000000}">
      <text>
        <r>
          <rPr>
            <b/>
            <sz val="9"/>
            <color indexed="81"/>
            <rFont val="Tahoma"/>
            <family val="2"/>
          </rPr>
          <t>Nicolas Queral:</t>
        </r>
        <r>
          <rPr>
            <sz val="9"/>
            <color indexed="81"/>
            <rFont val="Tahoma"/>
            <family val="2"/>
          </rPr>
          <t xml:space="preserve">
source : Evaluation zootechnique, environnementale et économique des techniques d'évacuation fréquente des déjections en porcherie</t>
        </r>
      </text>
    </comment>
    <comment ref="E92" authorId="1" shapeId="0" xr:uid="{00000000-0006-0000-0100-000019000000}">
      <text>
        <r>
          <rPr>
            <b/>
            <sz val="9"/>
            <color indexed="81"/>
            <rFont val="Tahoma"/>
            <family val="2"/>
          </rPr>
          <t>Nicolas Queral:</t>
        </r>
        <r>
          <rPr>
            <sz val="9"/>
            <color indexed="81"/>
            <rFont val="Tahoma"/>
            <family val="2"/>
          </rPr>
          <t xml:space="preserve">
source : Evaluation zootechnique, environnementale et économique des techniques d'évacuation fréquente des déjections en porcherie</t>
        </r>
      </text>
    </comment>
    <comment ref="E93" authorId="1" shapeId="0" xr:uid="{00000000-0006-0000-0100-00001A000000}">
      <text>
        <r>
          <rPr>
            <b/>
            <sz val="9"/>
            <color indexed="81"/>
            <rFont val="Tahoma"/>
            <family val="2"/>
          </rPr>
          <t>Nicolas Queral:</t>
        </r>
        <r>
          <rPr>
            <sz val="9"/>
            <color indexed="81"/>
            <rFont val="Tahoma"/>
            <family val="2"/>
          </rPr>
          <t xml:space="preserve">
source : Evaluation zootechnique, environnementale et économique des techniques d'évacuation fréquente des déjections en porcherie</t>
        </r>
      </text>
    </comment>
    <comment ref="E95" authorId="1" shapeId="0" xr:uid="{00000000-0006-0000-0100-00001B000000}">
      <text>
        <r>
          <rPr>
            <b/>
            <sz val="9"/>
            <color indexed="81"/>
            <rFont val="Tahoma"/>
            <family val="2"/>
          </rPr>
          <t>Nicolas Queral:</t>
        </r>
        <r>
          <rPr>
            <sz val="9"/>
            <color indexed="81"/>
            <rFont val="Tahoma"/>
            <family val="2"/>
          </rPr>
          <t xml:space="preserve">
Emission d’ammoniac liée au stockage de lisier de porcs : résultats de laboratoire et de terrain</t>
        </r>
      </text>
    </comment>
    <comment ref="D116" authorId="1" shapeId="0" xr:uid="{DA3C9089-EFC1-4F5B-9197-23B698492978}">
      <text>
        <r>
          <rPr>
            <b/>
            <sz val="9"/>
            <color indexed="81"/>
            <rFont val="Tahoma"/>
            <family val="2"/>
          </rPr>
          <t>Nicolas Queral:</t>
        </r>
        <r>
          <rPr>
            <sz val="9"/>
            <color indexed="81"/>
            <rFont val="Tahoma"/>
            <family val="2"/>
          </rPr>
          <t xml:space="preserve">
Matière organique ou matière sèche ?</t>
        </r>
      </text>
    </comment>
    <comment ref="E164" authorId="1" shapeId="0" xr:uid="{B91852AB-EF10-4B73-A4D5-0A0B00C66942}">
      <text>
        <r>
          <rPr>
            <b/>
            <sz val="9"/>
            <color indexed="81"/>
            <rFont val="Tahoma"/>
            <family val="2"/>
          </rPr>
          <t>Nicolas Queral:</t>
        </r>
        <r>
          <rPr>
            <sz val="9"/>
            <color indexed="81"/>
            <rFont val="Tahoma"/>
            <family val="2"/>
          </rPr>
          <t xml:space="preserve">
Pourquoi divisé par 100 ?</t>
        </r>
      </text>
    </comment>
    <comment ref="AE171" authorId="1" shapeId="0" xr:uid="{00000000-0006-0000-0100-00001C000000}">
      <text>
        <r>
          <rPr>
            <b/>
            <sz val="9"/>
            <color indexed="81"/>
            <rFont val="Tahoma"/>
            <family val="2"/>
          </rPr>
          <t>Nicolas Queral:</t>
        </r>
        <r>
          <rPr>
            <sz val="9"/>
            <color indexed="81"/>
            <rFont val="Tahoma"/>
            <family val="2"/>
          </rPr>
          <t xml:space="preserve">
A calculer à la fin de chaque scénario
</t>
        </r>
      </text>
    </comment>
    <comment ref="AC172" authorId="1" shapeId="0" xr:uid="{00000000-0006-0000-0100-00001D000000}">
      <text>
        <r>
          <rPr>
            <b/>
            <sz val="9"/>
            <color indexed="81"/>
            <rFont val="Tahoma"/>
            <family val="2"/>
          </rPr>
          <t>Nicolas Queral:</t>
        </r>
        <r>
          <rPr>
            <sz val="9"/>
            <color indexed="81"/>
            <rFont val="Tahoma"/>
            <family val="2"/>
          </rPr>
          <t xml:space="preserve">
Avec Pbio = 0,05
</t>
        </r>
      </text>
    </comment>
    <comment ref="AA173" authorId="1" shapeId="0" xr:uid="{00000000-0006-0000-0100-00001E000000}">
      <text>
        <r>
          <rPr>
            <b/>
            <sz val="9"/>
            <color indexed="81"/>
            <rFont val="Tahoma"/>
            <family val="2"/>
          </rPr>
          <t>Nicolas Queral:</t>
        </r>
        <r>
          <rPr>
            <sz val="9"/>
            <color indexed="81"/>
            <rFont val="Tahoma"/>
            <family val="2"/>
          </rPr>
          <t xml:space="preserve">
Que quand il y a hygiénisation des intrants.</t>
        </r>
      </text>
    </comment>
    <comment ref="AA174" authorId="1" shapeId="0" xr:uid="{00000000-0006-0000-0100-00001F000000}">
      <text>
        <r>
          <rPr>
            <b/>
            <sz val="9"/>
            <color indexed="81"/>
            <rFont val="Tahoma"/>
            <family val="2"/>
          </rPr>
          <t>Nicolas Queral:</t>
        </r>
        <r>
          <rPr>
            <sz val="9"/>
            <color indexed="81"/>
            <rFont val="Tahoma"/>
            <family val="2"/>
          </rPr>
          <t xml:space="preserve">
On néglige les fuites de la torchère.
</t>
        </r>
      </text>
    </comment>
    <comment ref="AC174" authorId="1" shapeId="0" xr:uid="{00000000-0006-0000-0100-000020000000}">
      <text>
        <r>
          <rPr>
            <b/>
            <sz val="9"/>
            <color indexed="81"/>
            <rFont val="Tahoma"/>
            <family val="2"/>
          </rPr>
          <t>Nicolas Queral:</t>
        </r>
        <r>
          <rPr>
            <sz val="9"/>
            <color indexed="81"/>
            <rFont val="Tahoma"/>
            <family val="2"/>
          </rPr>
          <t xml:space="preserve">
Tx_torchère = 2%
</t>
        </r>
      </text>
    </comment>
    <comment ref="AN178" authorId="1" shapeId="0" xr:uid="{00000000-0006-0000-0100-000021000000}">
      <text>
        <r>
          <rPr>
            <b/>
            <sz val="9"/>
            <color indexed="81"/>
            <rFont val="Tahoma"/>
            <family val="2"/>
          </rPr>
          <t>Nicolas Queral:</t>
        </r>
        <r>
          <rPr>
            <sz val="9"/>
            <color indexed="81"/>
            <rFont val="Tahoma"/>
            <family val="2"/>
          </rPr>
          <t xml:space="preserve">
Pas bien compris cette formule
</t>
        </r>
      </text>
    </comment>
    <comment ref="AE195" authorId="1" shapeId="0" xr:uid="{00000000-0006-0000-0100-000022000000}">
      <text>
        <r>
          <rPr>
            <b/>
            <sz val="9"/>
            <color indexed="81"/>
            <rFont val="Tahoma"/>
            <family val="2"/>
          </rPr>
          <t>Nicolas Queral:</t>
        </r>
        <r>
          <rPr>
            <sz val="9"/>
            <color indexed="81"/>
            <rFont val="Tahoma"/>
            <family val="2"/>
          </rPr>
          <t xml:space="preserve">
A calculer à la fin de chaque scénario
</t>
        </r>
      </text>
    </comment>
    <comment ref="AA196" authorId="1" shapeId="0" xr:uid="{00000000-0006-0000-0100-000024000000}">
      <text>
        <r>
          <rPr>
            <b/>
            <sz val="9"/>
            <color indexed="81"/>
            <rFont val="Tahoma"/>
            <family val="2"/>
          </rPr>
          <t>Nicolas Queral:</t>
        </r>
        <r>
          <rPr>
            <sz val="9"/>
            <color indexed="81"/>
            <rFont val="Tahoma"/>
            <family val="2"/>
          </rPr>
          <t xml:space="preserve">
Que quand il y a hygiénisation des intrants.</t>
        </r>
      </text>
    </comment>
    <comment ref="AA197" authorId="1" shapeId="0" xr:uid="{00000000-0006-0000-0100-000025000000}">
      <text>
        <r>
          <rPr>
            <b/>
            <sz val="9"/>
            <color indexed="81"/>
            <rFont val="Tahoma"/>
            <family val="2"/>
          </rPr>
          <t>Nicolas Queral:</t>
        </r>
        <r>
          <rPr>
            <sz val="9"/>
            <color indexed="81"/>
            <rFont val="Tahoma"/>
            <family val="2"/>
          </rPr>
          <t xml:space="preserve">
On néglige les fuites de la torchère.
</t>
        </r>
      </text>
    </comment>
    <comment ref="AC197" authorId="1" shapeId="0" xr:uid="{00000000-0006-0000-0100-000026000000}">
      <text>
        <r>
          <rPr>
            <b/>
            <sz val="9"/>
            <color indexed="81"/>
            <rFont val="Tahoma"/>
            <family val="2"/>
          </rPr>
          <t>Nicolas Queral:</t>
        </r>
        <r>
          <rPr>
            <sz val="9"/>
            <color indexed="81"/>
            <rFont val="Tahoma"/>
            <family val="2"/>
          </rPr>
          <t xml:space="preserve">
Tx_torchère = 2%
</t>
        </r>
      </text>
    </comment>
    <comment ref="A236" authorId="1" shapeId="0" xr:uid="{C7B0779A-EB3F-4666-834C-F9406AF44AFC}">
      <text>
        <r>
          <rPr>
            <b/>
            <sz val="9"/>
            <color indexed="81"/>
            <rFont val="Tahoma"/>
            <family val="2"/>
          </rPr>
          <t>Nicolas Queral:</t>
        </r>
        <r>
          <rPr>
            <sz val="9"/>
            <color indexed="81"/>
            <rFont val="Tahoma"/>
            <family val="2"/>
          </rPr>
          <t xml:space="preserve">
Source : GESTIM EMEP 2016</t>
        </r>
      </text>
    </comment>
    <comment ref="H249" authorId="1" shapeId="0" xr:uid="{00000000-0006-0000-0100-000027000000}">
      <text>
        <r>
          <rPr>
            <b/>
            <sz val="9"/>
            <color indexed="81"/>
            <rFont val="Tahoma"/>
            <family val="2"/>
          </rPr>
          <t>Nicolas Queral:</t>
        </r>
        <r>
          <rPr>
            <sz val="9"/>
            <color indexed="81"/>
            <rFont val="Tahoma"/>
            <family val="2"/>
          </rPr>
          <t xml:space="preserve">
IPCC
unité : kg/an</t>
        </r>
      </text>
    </comment>
    <comment ref="J249" authorId="1" shapeId="0" xr:uid="{00000000-0006-0000-0100-000028000000}">
      <text>
        <r>
          <rPr>
            <b/>
            <sz val="9"/>
            <color indexed="81"/>
            <rFont val="Tahoma"/>
            <family val="2"/>
          </rPr>
          <t>Nicolas Queral:</t>
        </r>
        <r>
          <rPr>
            <sz val="9"/>
            <color indexed="81"/>
            <rFont val="Tahoma"/>
            <family val="2"/>
          </rPr>
          <t xml:space="preserve">
Source : EMEP 2016</t>
        </r>
      </text>
    </comment>
    <comment ref="Q249" authorId="1" shapeId="0" xr:uid="{00000000-0006-0000-0100-000029000000}">
      <text>
        <r>
          <rPr>
            <b/>
            <sz val="9"/>
            <color indexed="81"/>
            <rFont val="Tahoma"/>
            <family val="2"/>
          </rPr>
          <t>Nicolas Queral:</t>
        </r>
        <r>
          <rPr>
            <sz val="9"/>
            <color indexed="81"/>
            <rFont val="Tahoma"/>
            <family val="2"/>
          </rPr>
          <t xml:space="preserve">
IPCC</t>
        </r>
      </text>
    </comment>
    <comment ref="BB249" authorId="1" shapeId="0" xr:uid="{00000000-0006-0000-0100-00002A000000}">
      <text>
        <r>
          <rPr>
            <b/>
            <sz val="9"/>
            <color indexed="81"/>
            <rFont val="Tahoma"/>
            <family val="2"/>
          </rPr>
          <t>Nicolas Queral:</t>
        </r>
        <r>
          <rPr>
            <sz val="9"/>
            <color indexed="81"/>
            <rFont val="Tahoma"/>
            <family val="2"/>
          </rPr>
          <t xml:space="preserve">
source : Rapport de Thomas.</t>
        </r>
      </text>
    </comment>
    <comment ref="AV250" authorId="1" shapeId="0" xr:uid="{00000000-0006-0000-0100-00002B000000}">
      <text>
        <r>
          <rPr>
            <b/>
            <sz val="9"/>
            <color indexed="81"/>
            <rFont val="Tahoma"/>
            <family val="2"/>
          </rPr>
          <t>Nicolas Queral:</t>
        </r>
        <r>
          <rPr>
            <sz val="9"/>
            <color indexed="81"/>
            <rFont val="Tahoma"/>
            <family val="2"/>
          </rPr>
          <t xml:space="preserve">
source : LBC métha</t>
        </r>
      </text>
    </comment>
    <comment ref="AX250" authorId="1" shapeId="0" xr:uid="{00000000-0006-0000-0100-00002C000000}">
      <text>
        <r>
          <rPr>
            <b/>
            <sz val="9"/>
            <color indexed="81"/>
            <rFont val="Tahoma"/>
            <family val="2"/>
          </rPr>
          <t>Nicolas Queral:</t>
        </r>
        <r>
          <rPr>
            <sz val="9"/>
            <color indexed="81"/>
            <rFont val="Tahoma"/>
            <family val="2"/>
          </rPr>
          <t xml:space="preserve">
Oscille entre 2 et 10 %, voir à la réunion LBC métha pour clarifier ça. 28 mai.</t>
        </r>
      </text>
    </comment>
    <comment ref="AZ250" authorId="1" shapeId="0" xr:uid="{00000000-0006-0000-0100-00002D000000}">
      <text>
        <r>
          <rPr>
            <b/>
            <sz val="9"/>
            <color indexed="81"/>
            <rFont val="Tahoma"/>
            <family val="2"/>
          </rPr>
          <t>Nicolas Queral:</t>
        </r>
        <r>
          <rPr>
            <sz val="9"/>
            <color indexed="81"/>
            <rFont val="Tahoma"/>
            <family val="2"/>
          </rPr>
          <t xml:space="preserve">
Très élevé, à voir avec la réunion LBC métha du 28 mai.</t>
        </r>
      </text>
    </comment>
    <comment ref="Q251" authorId="1" shapeId="0" xr:uid="{5E0407D2-6CFC-4E8B-90BD-A3CE4FCE2E3F}">
      <text>
        <r>
          <rPr>
            <b/>
            <sz val="9"/>
            <color indexed="81"/>
            <rFont val="Tahoma"/>
            <family val="2"/>
          </rPr>
          <t>Nicolas Queral:</t>
        </r>
        <r>
          <rPr>
            <sz val="9"/>
            <color indexed="81"/>
            <rFont val="Tahoma"/>
            <family val="2"/>
          </rPr>
          <t xml:space="preserve">
IPCC 2006</t>
        </r>
      </text>
    </comment>
    <comment ref="AA251" authorId="1" shapeId="0" xr:uid="{00000000-0006-0000-0100-00002E000000}">
      <text>
        <r>
          <rPr>
            <b/>
            <sz val="9"/>
            <color indexed="81"/>
            <rFont val="Tahoma"/>
            <family val="2"/>
          </rPr>
          <t>Nicolas Queral:</t>
        </r>
        <r>
          <rPr>
            <sz val="9"/>
            <color indexed="81"/>
            <rFont val="Tahoma"/>
            <family val="2"/>
          </rPr>
          <t xml:space="preserve">
source : rapport de thomas IPCC
</t>
        </r>
      </text>
    </comment>
    <comment ref="AB251" authorId="1" shapeId="0" xr:uid="{00000000-0006-0000-0100-00002F000000}">
      <text>
        <r>
          <rPr>
            <b/>
            <sz val="9"/>
            <color indexed="81"/>
            <rFont val="Tahoma"/>
            <family val="2"/>
          </rPr>
          <t>Nicolas Queral:</t>
        </r>
        <r>
          <rPr>
            <sz val="9"/>
            <color indexed="81"/>
            <rFont val="Tahoma"/>
            <family val="2"/>
          </rPr>
          <t xml:space="preserve">
source : rapport de thomas IPCC
</t>
        </r>
      </text>
    </comment>
    <comment ref="AE251" authorId="1" shapeId="0" xr:uid="{00000000-0006-0000-0100-000030000000}">
      <text>
        <r>
          <rPr>
            <b/>
            <sz val="9"/>
            <color indexed="81"/>
            <rFont val="Tahoma"/>
            <family val="2"/>
          </rPr>
          <t>Nicolas Queral:</t>
        </r>
        <r>
          <rPr>
            <sz val="9"/>
            <color indexed="81"/>
            <rFont val="Tahoma"/>
            <family val="2"/>
          </rPr>
          <t xml:space="preserve">
source : tp5espagnol09</t>
        </r>
      </text>
    </comment>
    <comment ref="AF251" authorId="1" shapeId="0" xr:uid="{00000000-0006-0000-0100-000031000000}">
      <text>
        <r>
          <rPr>
            <b/>
            <sz val="9"/>
            <color indexed="81"/>
            <rFont val="Tahoma"/>
            <family val="2"/>
          </rPr>
          <t>Nicolas Queral:</t>
        </r>
        <r>
          <rPr>
            <sz val="9"/>
            <color indexed="81"/>
            <rFont val="Tahoma"/>
            <family val="2"/>
          </rPr>
          <t xml:space="preserve">
source : tp5espagnol09</t>
        </r>
      </text>
    </comment>
    <comment ref="AG251" authorId="1" shapeId="0" xr:uid="{00000000-0006-0000-0100-000032000000}">
      <text>
        <r>
          <rPr>
            <b/>
            <sz val="9"/>
            <color indexed="81"/>
            <rFont val="Tahoma"/>
            <family val="2"/>
          </rPr>
          <t>Nicolas Queral:</t>
        </r>
        <r>
          <rPr>
            <sz val="9"/>
            <color indexed="81"/>
            <rFont val="Tahoma"/>
            <family val="2"/>
          </rPr>
          <t xml:space="preserve">
source : couverture fosse à lisier
</t>
        </r>
      </text>
    </comment>
    <comment ref="AH251" authorId="1" shapeId="0" xr:uid="{00000000-0006-0000-0100-000033000000}">
      <text>
        <r>
          <rPr>
            <b/>
            <sz val="9"/>
            <color indexed="81"/>
            <rFont val="Tahoma"/>
            <family val="2"/>
          </rPr>
          <t>Nicolas Queral:</t>
        </r>
        <r>
          <rPr>
            <sz val="9"/>
            <color indexed="81"/>
            <rFont val="Tahoma"/>
            <family val="2"/>
          </rPr>
          <t xml:space="preserve">
source : couverture fosse à lisier
0,05 source : notice de composim p.18 même valeur que sur Gestim+
EMEP 2016
</t>
        </r>
      </text>
    </comment>
    <comment ref="AL251" authorId="1" shapeId="0" xr:uid="{00000000-0006-0000-0100-000034000000}">
      <text>
        <r>
          <rPr>
            <b/>
            <sz val="9"/>
            <color indexed="81"/>
            <rFont val="Tahoma"/>
            <family val="2"/>
          </rPr>
          <t>Nicolas Queral:</t>
        </r>
        <r>
          <rPr>
            <sz val="9"/>
            <color indexed="81"/>
            <rFont val="Tahoma"/>
            <family val="2"/>
          </rPr>
          <t xml:space="preserve">
Déjà pris en compte à l'étape précédente où on a considéré 100 % de gaz en torchère au lieu de 2 %</t>
        </r>
      </text>
    </comment>
    <comment ref="AX251" authorId="1" shapeId="0" xr:uid="{00000000-0006-0000-0100-000035000000}">
      <text>
        <r>
          <rPr>
            <b/>
            <sz val="9"/>
            <color indexed="81"/>
            <rFont val="Tahoma"/>
            <family val="2"/>
          </rPr>
          <t>Nicolas Queral:</t>
        </r>
        <r>
          <rPr>
            <sz val="9"/>
            <color indexed="81"/>
            <rFont val="Tahoma"/>
            <family val="2"/>
          </rPr>
          <t xml:space="preserve">
moyenne entre 2 et 10 %</t>
        </r>
      </text>
    </comment>
    <comment ref="C252" authorId="1" shapeId="0" xr:uid="{ED5A4FE7-0AFD-4944-8A94-15BFC9931B92}">
      <text>
        <r>
          <rPr>
            <b/>
            <sz val="9"/>
            <color indexed="81"/>
            <rFont val="Tahoma"/>
            <family val="2"/>
          </rPr>
          <t>Nicolas Queral:</t>
        </r>
        <r>
          <rPr>
            <sz val="9"/>
            <color indexed="81"/>
            <rFont val="Tahoma"/>
            <family val="2"/>
          </rPr>
          <t xml:space="preserve">
IPCC 2006</t>
        </r>
      </text>
    </comment>
    <comment ref="AA252" authorId="1" shapeId="0" xr:uid="{00000000-0006-0000-0100-000036000000}">
      <text>
        <r>
          <rPr>
            <b/>
            <sz val="9"/>
            <color indexed="81"/>
            <rFont val="Tahoma"/>
            <family val="2"/>
          </rPr>
          <t>Nicolas Queral:</t>
        </r>
        <r>
          <rPr>
            <sz val="9"/>
            <color indexed="81"/>
            <rFont val="Tahoma"/>
            <family val="2"/>
          </rPr>
          <t xml:space="preserve">
source : rapport de thomas IPCC
</t>
        </r>
      </text>
    </comment>
    <comment ref="AB252" authorId="1" shapeId="0" xr:uid="{00000000-0006-0000-0100-000037000000}">
      <text>
        <r>
          <rPr>
            <b/>
            <sz val="9"/>
            <color indexed="81"/>
            <rFont val="Tahoma"/>
            <family val="2"/>
          </rPr>
          <t>Nicolas Queral:</t>
        </r>
        <r>
          <rPr>
            <sz val="9"/>
            <color indexed="81"/>
            <rFont val="Tahoma"/>
            <family val="2"/>
          </rPr>
          <t xml:space="preserve">
source : rapport de thomas IPCC
</t>
        </r>
      </text>
    </comment>
    <comment ref="AE252" authorId="1" shapeId="0" xr:uid="{00000000-0006-0000-0100-000038000000}">
      <text>
        <r>
          <rPr>
            <b/>
            <sz val="9"/>
            <color indexed="81"/>
            <rFont val="Tahoma"/>
            <family val="2"/>
          </rPr>
          <t>Nicolas Queral:</t>
        </r>
        <r>
          <rPr>
            <sz val="9"/>
            <color indexed="81"/>
            <rFont val="Tahoma"/>
            <family val="2"/>
          </rPr>
          <t xml:space="preserve">
source : rapport de thomas IPCC
</t>
        </r>
      </text>
    </comment>
    <comment ref="AF252" authorId="1" shapeId="0" xr:uid="{00000000-0006-0000-0100-000039000000}">
      <text>
        <r>
          <rPr>
            <b/>
            <sz val="9"/>
            <color indexed="81"/>
            <rFont val="Tahoma"/>
            <family val="2"/>
          </rPr>
          <t>Nicolas Queral:</t>
        </r>
        <r>
          <rPr>
            <sz val="9"/>
            <color indexed="81"/>
            <rFont val="Tahoma"/>
            <family val="2"/>
          </rPr>
          <t xml:space="preserve">
source : rapport de thomas IPCC
</t>
        </r>
      </text>
    </comment>
    <comment ref="AH252" authorId="0" shapeId="0" xr:uid="{6F85B36B-8540-4C06-8AEC-19924CC5BE94}">
      <text>
        <r>
          <rPr>
            <b/>
            <sz val="9"/>
            <color indexed="81"/>
            <rFont val="Tahoma"/>
            <family val="2"/>
          </rPr>
          <t>Pascal Levasseur:</t>
        </r>
        <r>
          <rPr>
            <sz val="9"/>
            <color indexed="81"/>
            <rFont val="Tahoma"/>
            <family val="2"/>
          </rPr>
          <t xml:space="preserve">
Pour cette cellule et ci-dessus, c'était 0,14. J'ai mis 0,11 d'après doc LBC</t>
        </r>
      </text>
    </comment>
    <comment ref="AQ252" authorId="1" shapeId="0" xr:uid="{00000000-0006-0000-0100-00003A000000}">
      <text>
        <r>
          <rPr>
            <b/>
            <sz val="9"/>
            <color indexed="81"/>
            <rFont val="Tahoma"/>
            <family val="2"/>
          </rPr>
          <t>Nicolas Queral:</t>
        </r>
        <r>
          <rPr>
            <sz val="9"/>
            <color indexed="81"/>
            <rFont val="Tahoma"/>
            <family val="2"/>
          </rPr>
          <t xml:space="preserve">
Attention : ici l'unité est en kg de CH4/m3 de biogaz et non de CH4.</t>
        </r>
      </text>
    </comment>
    <comment ref="C253" authorId="1" shapeId="0" xr:uid="{2CD9CE1D-BA27-4025-885A-0F3BDFBF37B0}">
      <text>
        <r>
          <rPr>
            <b/>
            <sz val="9"/>
            <color indexed="81"/>
            <rFont val="Tahoma"/>
            <family val="2"/>
          </rPr>
          <t>Nicolas Queral:</t>
        </r>
        <r>
          <rPr>
            <sz val="9"/>
            <color indexed="81"/>
            <rFont val="Tahoma"/>
            <family val="2"/>
          </rPr>
          <t xml:space="preserve">
CORPEN 2003</t>
        </r>
      </text>
    </comment>
    <comment ref="Q253" authorId="1" shapeId="0" xr:uid="{B8F5C201-CD59-4D36-9294-DB1C68590869}">
      <text>
        <r>
          <rPr>
            <b/>
            <sz val="9"/>
            <color indexed="81"/>
            <rFont val="Tahoma"/>
            <family val="2"/>
          </rPr>
          <t>Nicolas Queral:</t>
        </r>
        <r>
          <rPr>
            <sz val="9"/>
            <color indexed="81"/>
            <rFont val="Tahoma"/>
            <family val="2"/>
          </rPr>
          <t xml:space="preserve">
IPCC 2006</t>
        </r>
      </text>
    </comment>
    <comment ref="AE253" authorId="1" shapeId="0" xr:uid="{00000000-0006-0000-0100-00003B000000}">
      <text>
        <r>
          <rPr>
            <b/>
            <sz val="9"/>
            <color indexed="81"/>
            <rFont val="Tahoma"/>
            <family val="2"/>
          </rPr>
          <t>Nicolas Queral:</t>
        </r>
        <r>
          <rPr>
            <sz val="9"/>
            <color indexed="81"/>
            <rFont val="Tahoma"/>
            <family val="2"/>
          </rPr>
          <t xml:space="preserve">
Source : Rigolot et al. 2010</t>
        </r>
      </text>
    </comment>
    <comment ref="AM253" authorId="1" shapeId="0" xr:uid="{00000000-0006-0000-0100-00003C000000}">
      <text>
        <r>
          <rPr>
            <b/>
            <sz val="9"/>
            <color indexed="81"/>
            <rFont val="Tahoma"/>
            <family val="2"/>
          </rPr>
          <t>Nicolas Queral:</t>
        </r>
        <r>
          <rPr>
            <sz val="9"/>
            <color indexed="81"/>
            <rFont val="Tahoma"/>
            <family val="2"/>
          </rPr>
          <t xml:space="preserve">
=Txgaz_echap
</t>
        </r>
      </text>
    </comment>
    <comment ref="Q254" authorId="1" shapeId="0" xr:uid="{C4792FE5-E607-4365-A10C-59FD4B0C1F88}">
      <text>
        <r>
          <rPr>
            <b/>
            <sz val="9"/>
            <color indexed="81"/>
            <rFont val="Tahoma"/>
            <family val="2"/>
          </rPr>
          <t>Nicolas Queral:</t>
        </r>
        <r>
          <rPr>
            <sz val="9"/>
            <color indexed="81"/>
            <rFont val="Tahoma"/>
            <family val="2"/>
          </rPr>
          <t xml:space="preserve">
IPCC 2006</t>
        </r>
      </text>
    </comment>
    <comment ref="AA254" authorId="1" shapeId="0" xr:uid="{00000000-0006-0000-0100-00003D000000}">
      <text>
        <r>
          <rPr>
            <b/>
            <sz val="9"/>
            <color indexed="81"/>
            <rFont val="Tahoma"/>
            <family val="2"/>
          </rPr>
          <t>Nicolas Queral:</t>
        </r>
        <r>
          <rPr>
            <sz val="9"/>
            <color indexed="81"/>
            <rFont val="Tahoma"/>
            <family val="2"/>
          </rPr>
          <t xml:space="preserve">
QN2O étant la quantité de N2O émise dans le
 méthaniseur</t>
        </r>
      </text>
    </comment>
    <comment ref="AF254" authorId="0" shapeId="0" xr:uid="{FCAA77AB-55E8-40CE-9F3E-36ED28418B39}">
      <text>
        <r>
          <rPr>
            <b/>
            <sz val="9"/>
            <color indexed="81"/>
            <rFont val="Tahoma"/>
            <family val="2"/>
          </rPr>
          <t>Attention, c'est cette cellule qui est à prendre pour les calculs. FE également présent en J59</t>
        </r>
      </text>
    </comment>
    <comment ref="AP254" authorId="1" shapeId="0" xr:uid="{00000000-0006-0000-0100-00003F000000}">
      <text>
        <r>
          <rPr>
            <b/>
            <sz val="9"/>
            <color indexed="81"/>
            <rFont val="Tahoma"/>
            <family val="2"/>
          </rPr>
          <t>Nicolas Queral:</t>
        </r>
        <r>
          <rPr>
            <sz val="9"/>
            <color indexed="81"/>
            <rFont val="Tahoma"/>
            <family val="2"/>
          </rPr>
          <t xml:space="preserve">
FC_N_MV ???</t>
        </r>
      </text>
    </comment>
    <comment ref="C255" authorId="1" shapeId="0" xr:uid="{4509A804-48EA-4621-A843-9E90D1DAF3F1}">
      <text>
        <r>
          <rPr>
            <b/>
            <sz val="9"/>
            <color indexed="81"/>
            <rFont val="Tahoma"/>
            <family val="2"/>
          </rPr>
          <t>Nicolas Queral:</t>
        </r>
        <r>
          <rPr>
            <sz val="9"/>
            <color indexed="81"/>
            <rFont val="Tahoma"/>
            <family val="2"/>
          </rPr>
          <t xml:space="preserve">
IPCC 2006</t>
        </r>
      </text>
    </comment>
    <comment ref="Q255" authorId="1" shapeId="0" xr:uid="{86AAA38E-60A8-4DF9-A712-02DA52992020}">
      <text>
        <r>
          <rPr>
            <b/>
            <sz val="9"/>
            <color indexed="81"/>
            <rFont val="Tahoma"/>
            <family val="2"/>
          </rPr>
          <t>Nicolas Queral:</t>
        </r>
        <r>
          <rPr>
            <sz val="9"/>
            <color indexed="81"/>
            <rFont val="Tahoma"/>
            <family val="2"/>
          </rPr>
          <t xml:space="preserve">
Rigolot et Al. 2010</t>
        </r>
      </text>
    </comment>
    <comment ref="W255" authorId="1" shapeId="0" xr:uid="{85402172-1191-4173-A122-08CE792D2060}">
      <text>
        <r>
          <rPr>
            <b/>
            <sz val="9"/>
            <color indexed="81"/>
            <rFont val="Tahoma"/>
            <family val="2"/>
          </rPr>
          <t>Nicolas Queral:</t>
        </r>
        <r>
          <rPr>
            <sz val="9"/>
            <color indexed="81"/>
            <rFont val="Tahoma"/>
            <family val="2"/>
          </rPr>
          <t xml:space="preserve">
EMEP 2016</t>
        </r>
      </text>
    </comment>
    <comment ref="AB255" authorId="1" shapeId="0" xr:uid="{00000000-0006-0000-0100-000040000000}">
      <text>
        <r>
          <rPr>
            <b/>
            <sz val="9"/>
            <color indexed="81"/>
            <rFont val="Tahoma"/>
            <family val="2"/>
          </rPr>
          <t>Nicolas Queral:</t>
        </r>
        <r>
          <rPr>
            <sz val="9"/>
            <color indexed="81"/>
            <rFont val="Tahoma"/>
            <family val="2"/>
          </rPr>
          <t xml:space="preserve">
La combustion du N2O est négligée lors du torchage. (LBC porc métha)
</t>
        </r>
      </text>
    </comment>
    <comment ref="C256" authorId="1" shapeId="0" xr:uid="{EAFAAA32-A17E-4722-BC37-9B28B9FAE0FA}">
      <text>
        <r>
          <rPr>
            <b/>
            <sz val="9"/>
            <color indexed="81"/>
            <rFont val="Tahoma"/>
            <family val="2"/>
          </rPr>
          <t>Nicolas Queral:</t>
        </r>
        <r>
          <rPr>
            <sz val="9"/>
            <color indexed="81"/>
            <rFont val="Tahoma"/>
            <family val="2"/>
          </rPr>
          <t xml:space="preserve">
CORPEN 2003</t>
        </r>
      </text>
    </comment>
    <comment ref="AA257" authorId="1" shapeId="0" xr:uid="{2A75B8BD-1184-4B80-9F22-BF7ACB0604FA}">
      <text>
        <r>
          <rPr>
            <b/>
            <sz val="9"/>
            <color indexed="81"/>
            <rFont val="Tahoma"/>
            <family val="2"/>
          </rPr>
          <t>Nicolas Queral:</t>
        </r>
        <r>
          <rPr>
            <sz val="9"/>
            <color indexed="81"/>
            <rFont val="Tahoma"/>
            <family val="2"/>
          </rPr>
          <t xml:space="preserve">
Rigolot et Al. 2010</t>
        </r>
      </text>
    </comment>
    <comment ref="AE257" authorId="1" shapeId="0" xr:uid="{F8E17F68-340C-48AA-A4AA-FF25B1293AAD}">
      <text>
        <r>
          <rPr>
            <b/>
            <sz val="9"/>
            <color indexed="81"/>
            <rFont val="Tahoma"/>
            <family val="2"/>
          </rPr>
          <t>Nicolas Queral:</t>
        </r>
        <r>
          <rPr>
            <sz val="9"/>
            <color indexed="81"/>
            <rFont val="Tahoma"/>
            <family val="2"/>
          </rPr>
          <t xml:space="preserve">
Rigolot et Al 2010</t>
        </r>
      </text>
    </comment>
    <comment ref="AG257" authorId="1" shapeId="0" xr:uid="{1E07DFC5-06DD-4BDC-ADFA-7C6A4AF55D79}">
      <text>
        <r>
          <rPr>
            <b/>
            <sz val="9"/>
            <color indexed="81"/>
            <rFont val="Tahoma"/>
            <family val="2"/>
          </rPr>
          <t>Nicolas Queral:</t>
        </r>
        <r>
          <rPr>
            <sz val="9"/>
            <color indexed="81"/>
            <rFont val="Tahoma"/>
            <family val="2"/>
          </rPr>
          <t xml:space="preserve">
Rigolot et Al. 2010</t>
        </r>
      </text>
    </comment>
    <comment ref="C258" authorId="1" shapeId="0" xr:uid="{A103DECE-DF6F-471F-9FBC-45547D6F9D1B}">
      <text>
        <r>
          <rPr>
            <b/>
            <sz val="9"/>
            <color indexed="81"/>
            <rFont val="Tahoma"/>
            <family val="2"/>
          </rPr>
          <t>Nicolas Queral:</t>
        </r>
        <r>
          <rPr>
            <sz val="9"/>
            <color indexed="81"/>
            <rFont val="Tahoma"/>
            <family val="2"/>
          </rPr>
          <t xml:space="preserve">
IPCC 2006</t>
        </r>
      </text>
    </comment>
    <comment ref="C259" authorId="1" shapeId="0" xr:uid="{7D3FBC90-138D-40A6-8760-04F4852B5AC2}">
      <text>
        <r>
          <rPr>
            <b/>
            <sz val="9"/>
            <color indexed="81"/>
            <rFont val="Tahoma"/>
            <family val="2"/>
          </rPr>
          <t>Nicolas Queral:</t>
        </r>
        <r>
          <rPr>
            <sz val="9"/>
            <color indexed="81"/>
            <rFont val="Tahoma"/>
            <family val="2"/>
          </rPr>
          <t xml:space="preserve">
CORPEN 2003</t>
        </r>
      </text>
    </comment>
    <comment ref="C286" authorId="1" shapeId="0" xr:uid="{00000000-0006-0000-0100-000041000000}">
      <text>
        <r>
          <rPr>
            <b/>
            <sz val="9"/>
            <color indexed="81"/>
            <rFont val="Tahoma"/>
            <family val="2"/>
          </rPr>
          <t>Nicolas Queral:</t>
        </r>
        <r>
          <rPr>
            <sz val="9"/>
            <color indexed="81"/>
            <rFont val="Tahoma"/>
            <family val="2"/>
          </rPr>
          <t xml:space="preserve">
source : Référence sur les rejets porcs RMT élevage</t>
        </r>
      </text>
    </comment>
    <comment ref="D286" authorId="1" shapeId="0" xr:uid="{00000000-0006-0000-0100-000042000000}">
      <text>
        <r>
          <rPr>
            <b/>
            <sz val="9"/>
            <color indexed="81"/>
            <rFont val="Tahoma"/>
            <family val="2"/>
          </rPr>
          <t>Nicolas Queral:</t>
        </r>
        <r>
          <rPr>
            <sz val="9"/>
            <color indexed="81"/>
            <rFont val="Tahoma"/>
            <family val="2"/>
          </rPr>
          <t xml:space="preserve">
source : Référence rejets porcs RMT élevage</t>
        </r>
      </text>
    </comment>
    <comment ref="E286" authorId="1" shapeId="0" xr:uid="{00000000-0006-0000-0100-000043000000}">
      <text>
        <r>
          <rPr>
            <b/>
            <sz val="9"/>
            <color indexed="81"/>
            <rFont val="Tahoma"/>
            <family val="2"/>
          </rPr>
          <t>Nicolas Queral:</t>
        </r>
        <r>
          <rPr>
            <sz val="9"/>
            <color indexed="81"/>
            <rFont val="Tahoma"/>
            <family val="2"/>
          </rPr>
          <t xml:space="preserve">
source : Pascal LEVASSEUR</t>
        </r>
      </text>
    </comment>
    <comment ref="F286" authorId="1" shapeId="0" xr:uid="{00000000-0006-0000-0100-000044000000}">
      <text>
        <r>
          <rPr>
            <b/>
            <sz val="9"/>
            <color indexed="81"/>
            <rFont val="Tahoma"/>
            <family val="2"/>
          </rPr>
          <t>Nicolas Queral:</t>
        </r>
        <r>
          <rPr>
            <sz val="9"/>
            <color indexed="81"/>
            <rFont val="Tahoma"/>
            <family val="2"/>
          </rPr>
          <t xml:space="preserve">
source : Référence rejets porcs RMT élevage</t>
        </r>
      </text>
    </comment>
    <comment ref="I287" authorId="1" shapeId="0" xr:uid="{00000000-0006-0000-0100-000045000000}">
      <text>
        <r>
          <rPr>
            <b/>
            <sz val="9"/>
            <color indexed="81"/>
            <rFont val="Tahoma"/>
            <family val="2"/>
          </rPr>
          <t>Nicolas Queral:</t>
        </r>
        <r>
          <rPr>
            <sz val="9"/>
            <color indexed="81"/>
            <rFont val="Tahoma"/>
            <family val="2"/>
          </rPr>
          <t xml:space="preserve">
70 % du N excrété
source : Gestim+</t>
        </r>
      </text>
    </comment>
    <comment ref="G288" authorId="1" shapeId="0" xr:uid="{00000000-0006-0000-0100-000046000000}">
      <text>
        <r>
          <rPr>
            <b/>
            <sz val="9"/>
            <color indexed="81"/>
            <rFont val="Tahoma"/>
            <family val="2"/>
          </rPr>
          <t>Nicolas Queral:</t>
        </r>
        <r>
          <rPr>
            <sz val="9"/>
            <color indexed="81"/>
            <rFont val="Tahoma"/>
            <family val="2"/>
          </rPr>
          <t xml:space="preserve">
source : IPCC 2006</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Nicolas Queral</author>
  </authors>
  <commentList>
    <comment ref="B5" authorId="0" shapeId="0" xr:uid="{00000000-0006-0000-0200-000001000000}">
      <text>
        <r>
          <rPr>
            <b/>
            <sz val="9"/>
            <color indexed="81"/>
            <rFont val="Tahoma"/>
            <family val="2"/>
          </rPr>
          <t>Nicolas Queral:</t>
        </r>
        <r>
          <rPr>
            <sz val="9"/>
            <color indexed="81"/>
            <rFont val="Tahoma"/>
            <family val="2"/>
          </rPr>
          <t xml:space="preserve">
source : agreste 2019
</t>
        </r>
      </text>
    </comment>
    <comment ref="C5" authorId="0" shapeId="0" xr:uid="{00000000-0006-0000-0200-000002000000}">
      <text>
        <r>
          <rPr>
            <b/>
            <sz val="9"/>
            <color indexed="81"/>
            <rFont val="Tahoma"/>
            <family val="2"/>
          </rPr>
          <t>Nicolas Queral:</t>
        </r>
        <r>
          <rPr>
            <sz val="9"/>
            <color indexed="81"/>
            <rFont val="Tahoma"/>
            <family val="2"/>
          </rPr>
          <t xml:space="preserve">
source : AGRESTE 2019
</t>
        </r>
      </text>
    </comment>
    <comment ref="C11" authorId="0" shapeId="0" xr:uid="{00000000-0006-0000-0200-000009000000}">
      <text>
        <r>
          <rPr>
            <b/>
            <sz val="9"/>
            <color indexed="81"/>
            <rFont val="Tahoma"/>
            <family val="2"/>
          </rPr>
          <t>Nicolas Queral:</t>
        </r>
        <r>
          <rPr>
            <sz val="9"/>
            <color indexed="81"/>
            <rFont val="Tahoma"/>
            <family val="2"/>
          </rPr>
          <t xml:space="preserve">
source : Résultats porcs 2015 IFIP</t>
        </r>
      </text>
    </comment>
    <comment ref="C12" authorId="0" shapeId="0" xr:uid="{00000000-0006-0000-0200-00000A000000}">
      <text>
        <r>
          <rPr>
            <b/>
            <sz val="9"/>
            <color indexed="81"/>
            <rFont val="Tahoma"/>
            <family val="2"/>
          </rPr>
          <t>Nicolas Queral:</t>
        </r>
        <r>
          <rPr>
            <sz val="9"/>
            <color indexed="81"/>
            <rFont val="Tahoma"/>
            <family val="2"/>
          </rPr>
          <t xml:space="preserve">
source : conso d'énergie des batiments porcins</t>
        </r>
      </text>
    </comment>
    <comment ref="C13" authorId="0" shapeId="0" xr:uid="{00000000-0006-0000-0200-00000B000000}">
      <text>
        <r>
          <rPr>
            <b/>
            <sz val="9"/>
            <color indexed="81"/>
            <rFont val="Tahoma"/>
            <family val="2"/>
          </rPr>
          <t>Nicolas Queral:</t>
        </r>
        <r>
          <rPr>
            <sz val="9"/>
            <color indexed="81"/>
            <rFont val="Tahoma"/>
            <family val="2"/>
          </rPr>
          <t xml:space="preserve">
source = rapport de thomas</t>
        </r>
      </text>
    </comment>
    <comment ref="B20" authorId="0" shapeId="0" xr:uid="{14DF044A-BEFB-4088-9F92-9A1DA70EDBCC}">
      <text>
        <r>
          <rPr>
            <b/>
            <sz val="9"/>
            <color indexed="81"/>
            <rFont val="Tahoma"/>
            <family val="2"/>
          </rPr>
          <t>Nicolas Queral:</t>
        </r>
        <r>
          <rPr>
            <sz val="9"/>
            <color indexed="81"/>
            <rFont val="Tahoma"/>
            <family val="2"/>
          </rPr>
          <t xml:space="preserve">
source : Synthèse des bilans 
de fonctionnement 
des unités de méthanisation 
sur l’année 2019 en Bretagne</t>
        </r>
      </text>
    </comment>
    <comment ref="B21" authorId="0" shapeId="0" xr:uid="{00000000-0006-0000-0200-00000C000000}">
      <text>
        <r>
          <rPr>
            <b/>
            <sz val="9"/>
            <color indexed="81"/>
            <rFont val="Tahoma"/>
            <family val="2"/>
          </rPr>
          <t>Nicolas Queral:</t>
        </r>
        <r>
          <rPr>
            <sz val="9"/>
            <color indexed="81"/>
            <rFont val="Tahoma"/>
            <family val="2"/>
          </rPr>
          <t xml:space="preserve">
source : Consommations d’énergie des bâtiments porcins : comment les réduire ?</t>
        </r>
      </text>
    </comment>
    <comment ref="B22" authorId="0" shapeId="0" xr:uid="{00000000-0006-0000-0200-00000D000000}">
      <text>
        <r>
          <rPr>
            <b/>
            <sz val="9"/>
            <color indexed="81"/>
            <rFont val="Tahoma"/>
            <family val="2"/>
          </rPr>
          <t>Nicolas Queral:</t>
        </r>
        <r>
          <rPr>
            <sz val="9"/>
            <color indexed="81"/>
            <rFont val="Tahoma"/>
            <family val="2"/>
          </rPr>
          <t xml:space="preserve">
source : Consommations d’énergie des bâtiments porcins : comment les réduire ?</t>
        </r>
      </text>
    </comment>
    <comment ref="B23" authorId="0" shapeId="0" xr:uid="{00000000-0006-0000-0200-00000E000000}">
      <text>
        <r>
          <rPr>
            <b/>
            <sz val="9"/>
            <color indexed="81"/>
            <rFont val="Tahoma"/>
            <family val="2"/>
          </rPr>
          <t>Nicolas Queral:</t>
        </r>
        <r>
          <rPr>
            <sz val="9"/>
            <color indexed="81"/>
            <rFont val="Tahoma"/>
            <family val="2"/>
          </rPr>
          <t xml:space="preserve">
Devrait mettre les besoins en hiver normalement mais je ne les ai pas encore trouvé</t>
        </r>
      </text>
    </comment>
    <comment ref="B25" authorId="0" shapeId="0" xr:uid="{7EFF733B-FC63-4A30-B8BB-9813865D5CE4}">
      <text>
        <r>
          <rPr>
            <b/>
            <sz val="9"/>
            <color indexed="81"/>
            <rFont val="Tahoma"/>
            <family val="2"/>
          </rPr>
          <t>Nicolas Queral:</t>
        </r>
        <r>
          <rPr>
            <sz val="9"/>
            <color indexed="81"/>
            <rFont val="Tahoma"/>
            <family val="2"/>
          </rPr>
          <t xml:space="preserve">
Plutôt 35 % dans la littérature mais on majore à 38 % car on prévoit des progrès technologiques
http://www.biogaz-energie-renouvelable.info/biogaz_cogeneration.html#:~:text=La%20cog%C3%A9n%C3%A9ration%20est%20la%20production%20de%20chaleur%20et,de%20cog%C3%A9n%C3%A9ration%20poss%C3%A8de%20un%20rendement%20%C3%A9lectrique%20de%2035%25.</t>
        </r>
      </text>
    </comment>
    <comment ref="B27" authorId="0" shapeId="0" xr:uid="{00000000-0006-0000-0200-00000F000000}">
      <text>
        <r>
          <rPr>
            <b/>
            <sz val="9"/>
            <color indexed="81"/>
            <rFont val="Tahoma"/>
            <family val="2"/>
          </rPr>
          <t>Nicolas Queral:</t>
        </r>
        <r>
          <rPr>
            <sz val="9"/>
            <color indexed="81"/>
            <rFont val="Tahoma"/>
            <family val="2"/>
          </rPr>
          <t xml:space="preserve">
source : Synthèse des bilans 
de fonctionnement 
des unités de méthanisation 
sur l’année 2019 en Bretagne</t>
        </r>
      </text>
    </comment>
    <comment ref="B29" authorId="0" shapeId="0" xr:uid="{CEC19AA2-0F6E-4BB7-A0F3-3A2D7EA9CF25}">
      <text>
        <r>
          <rPr>
            <b/>
            <sz val="9"/>
            <color indexed="81"/>
            <rFont val="Tahoma"/>
            <family val="2"/>
          </rPr>
          <t>Nicolas Queral:</t>
        </r>
        <r>
          <rPr>
            <sz val="9"/>
            <color indexed="81"/>
            <rFont val="Tahoma"/>
            <family val="2"/>
          </rPr>
          <t xml:space="preserve">
source : LBC porcs pour une température moyenne de 12°C</t>
        </r>
      </text>
    </comment>
    <comment ref="I29" authorId="0" shapeId="0" xr:uid="{00000000-0006-0000-0200-000010000000}">
      <text>
        <r>
          <rPr>
            <b/>
            <sz val="9"/>
            <color indexed="81"/>
            <rFont val="Tahoma"/>
            <family val="2"/>
          </rPr>
          <t>Nicolas Queral:</t>
        </r>
        <r>
          <rPr>
            <sz val="9"/>
            <color indexed="81"/>
            <rFont val="Tahoma"/>
            <family val="2"/>
          </rPr>
          <t xml:space="preserve">
techporc 2013 LEVASSEUR
</t>
        </r>
      </text>
    </comment>
    <comment ref="B30" authorId="0" shapeId="0" xr:uid="{8925ED2A-ACAC-4B92-A567-06FEC9239D9E}">
      <text>
        <r>
          <rPr>
            <b/>
            <sz val="9"/>
            <color indexed="81"/>
            <rFont val="Tahoma"/>
            <family val="2"/>
          </rPr>
          <t>Nicolas Queral:</t>
        </r>
        <r>
          <rPr>
            <sz val="9"/>
            <color indexed="81"/>
            <rFont val="Tahoma"/>
            <family val="2"/>
          </rPr>
          <t xml:space="preserve">
source : PPE page 103</t>
        </r>
      </text>
    </comment>
  </commentList>
</comments>
</file>

<file path=xl/sharedStrings.xml><?xml version="1.0" encoding="utf-8"?>
<sst xmlns="http://schemas.openxmlformats.org/spreadsheetml/2006/main" count="1720" uniqueCount="939">
  <si>
    <t>Investissement</t>
  </si>
  <si>
    <t>Porcs</t>
  </si>
  <si>
    <t>Volailles</t>
  </si>
  <si>
    <t>Méthanisation</t>
  </si>
  <si>
    <t>Cogénération</t>
  </si>
  <si>
    <t>Injection</t>
  </si>
  <si>
    <t>Torchère</t>
  </si>
  <si>
    <t>Chaudière</t>
  </si>
  <si>
    <t>€/an</t>
  </si>
  <si>
    <t>Raclage en V</t>
  </si>
  <si>
    <t>Raclage à plat</t>
  </si>
  <si>
    <t>ans</t>
  </si>
  <si>
    <t>Biométhane</t>
  </si>
  <si>
    <t>Epandage</t>
  </si>
  <si>
    <t>Injection dans le sol</t>
  </si>
  <si>
    <t>Taux de subvention</t>
  </si>
  <si>
    <t>Volaille</t>
  </si>
  <si>
    <t>Ruminants</t>
  </si>
  <si>
    <t>BOVINS</t>
  </si>
  <si>
    <t>Catégorie</t>
  </si>
  <si>
    <t>Bâtiment</t>
  </si>
  <si>
    <t>Extérieur</t>
  </si>
  <si>
    <t>Code</t>
  </si>
  <si>
    <t>VL</t>
  </si>
  <si>
    <t>Logette lisier raclage 6 à 8 fois/j</t>
  </si>
  <si>
    <t>Fosse non couverte</t>
  </si>
  <si>
    <t>VL1</t>
  </si>
  <si>
    <t>Logette lisier raclage &gt; 12 fois/j</t>
  </si>
  <si>
    <t>Méthanisation psy + chaudière</t>
  </si>
  <si>
    <t>VL2</t>
  </si>
  <si>
    <t>VL3</t>
  </si>
  <si>
    <t>Logette fumier raclée</t>
  </si>
  <si>
    <t>fumière</t>
  </si>
  <si>
    <t>VL4</t>
  </si>
  <si>
    <t>VL5</t>
  </si>
  <si>
    <t>Méthanisation collective</t>
  </si>
  <si>
    <t>VL6</t>
  </si>
  <si>
    <t>Litière accumulée (1 curage/3 sem.)</t>
  </si>
  <si>
    <t>fumière/au champs</t>
  </si>
  <si>
    <t>VL7</t>
  </si>
  <si>
    <t>Litière accumulée (1 curage/sem.)</t>
  </si>
  <si>
    <t>VL8</t>
  </si>
  <si>
    <t>Génisses</t>
  </si>
  <si>
    <t>G1</t>
  </si>
  <si>
    <t>G2</t>
  </si>
  <si>
    <t>G3</t>
  </si>
  <si>
    <t>G4</t>
  </si>
  <si>
    <t>G5</t>
  </si>
  <si>
    <t>G6</t>
  </si>
  <si>
    <t>Litière accumulée (1 curage/3 à 6 mois)</t>
  </si>
  <si>
    <t>G7</t>
  </si>
  <si>
    <t>G8</t>
  </si>
  <si>
    <t>Vache All.</t>
  </si>
  <si>
    <t>VA1</t>
  </si>
  <si>
    <t>VA2</t>
  </si>
  <si>
    <t>Taurillon</t>
  </si>
  <si>
    <t>Ta1</t>
  </si>
  <si>
    <t>Ta2</t>
  </si>
  <si>
    <t>Veau bouch.</t>
  </si>
  <si>
    <t>Lisier préfosse</t>
  </si>
  <si>
    <t>VB1</t>
  </si>
  <si>
    <t>Pompage quotidien</t>
  </si>
  <si>
    <t>VB2</t>
  </si>
  <si>
    <t>VB3</t>
  </si>
  <si>
    <t>VOLAILLES</t>
  </si>
  <si>
    <t>Canard PAG</t>
  </si>
  <si>
    <t>Fumier accumulé</t>
  </si>
  <si>
    <t>CPAG1</t>
  </si>
  <si>
    <t>Compostage</t>
  </si>
  <si>
    <t>CPAG2</t>
  </si>
  <si>
    <t>CPAG3</t>
  </si>
  <si>
    <t>Volaille chair</t>
  </si>
  <si>
    <t>VC1</t>
  </si>
  <si>
    <t>VC2</t>
  </si>
  <si>
    <t>VC3</t>
  </si>
  <si>
    <t>Canard gavage</t>
  </si>
  <si>
    <t>CG1</t>
  </si>
  <si>
    <t>CG2</t>
  </si>
  <si>
    <t>Canard à rôtir</t>
  </si>
  <si>
    <t>CR1</t>
  </si>
  <si>
    <t>CR2</t>
  </si>
  <si>
    <t>PC</t>
  </si>
  <si>
    <t>Truie</t>
  </si>
  <si>
    <t>PS</t>
  </si>
  <si>
    <t>Données utiles</t>
  </si>
  <si>
    <t>Donnée</t>
  </si>
  <si>
    <t>Unité</t>
  </si>
  <si>
    <t>Valeur</t>
  </si>
  <si>
    <t>unité</t>
  </si>
  <si>
    <t>valeur</t>
  </si>
  <si>
    <t>Emission de GES de l'essence</t>
  </si>
  <si>
    <t>gCO2/kWh</t>
  </si>
  <si>
    <t>Porc</t>
  </si>
  <si>
    <t>Données méthanisation</t>
  </si>
  <si>
    <t>Lisier produit</t>
  </si>
  <si>
    <t>Ecult</t>
  </si>
  <si>
    <t>FE gazole non routier</t>
  </si>
  <si>
    <t>kg eqCO2/L</t>
  </si>
  <si>
    <t>kg/an</t>
  </si>
  <si>
    <t>Sha surface dédiée à la culture</t>
  </si>
  <si>
    <t>ha</t>
  </si>
  <si>
    <t>Post sevrage</t>
  </si>
  <si>
    <t>Ccarb</t>
  </si>
  <si>
    <t>l/ha</t>
  </si>
  <si>
    <t>Porcs charcutier</t>
  </si>
  <si>
    <t>Eferti</t>
  </si>
  <si>
    <t>QN/ha</t>
  </si>
  <si>
    <t>kg/ha</t>
  </si>
  <si>
    <t>MO excrétée :</t>
  </si>
  <si>
    <t>FE_N facteur d'émission de l'engrais azoté moyen</t>
  </si>
  <si>
    <t>kg eqCO2/kg de N</t>
  </si>
  <si>
    <t>FE Nep lié à l'épandage d'engrais minéraux</t>
  </si>
  <si>
    <t>kg N2O/kg de N</t>
  </si>
  <si>
    <t>Quantité d'aliment ingérée le premier mois</t>
  </si>
  <si>
    <t>kg/PC</t>
  </si>
  <si>
    <t>PRGCH4</t>
  </si>
  <si>
    <t>kg eqCO2/kg de CH4</t>
  </si>
  <si>
    <t>Emissions de CH4 en évacuation mensuelle</t>
  </si>
  <si>
    <t>kg de C-CH4/PC</t>
  </si>
  <si>
    <t>FE_NH3 lié à l'épandage d'engrais azotés</t>
  </si>
  <si>
    <t>kgNH3/kg de N épandu</t>
  </si>
  <si>
    <t>PRGN2O</t>
  </si>
  <si>
    <t>kg eqCO2/kg de N2O</t>
  </si>
  <si>
    <t>FEN2Oindi</t>
  </si>
  <si>
    <t>kg N-N2O/kg de N-NH3</t>
  </si>
  <si>
    <t>QP2O5/ha</t>
  </si>
  <si>
    <t>N excrété :</t>
  </si>
  <si>
    <t>FE_P2O5</t>
  </si>
  <si>
    <t>kg eqCO2/kg de P2O5</t>
  </si>
  <si>
    <t>QK2O/ha</t>
  </si>
  <si>
    <t>FE_K2O</t>
  </si>
  <si>
    <t>kg eqCO2/kg de K2O</t>
  </si>
  <si>
    <t>FS flux de séquestration annuel de C dans les sols</t>
  </si>
  <si>
    <t>eqCO2/ha/an</t>
  </si>
  <si>
    <t>1266 avec retour du digestat et 480 sans retour du digestat</t>
  </si>
  <si>
    <t>B0</t>
  </si>
  <si>
    <t>m3 CH4/kg de MO excrétée</t>
  </si>
  <si>
    <t>A récupérer dans les données récupérée avec les expériences de Pascal</t>
  </si>
  <si>
    <t>FCc_CO2 facteur de conversion d'un kg de carbone en kg eqCO2</t>
  </si>
  <si>
    <t>kg eqCO2/kg de C</t>
  </si>
  <si>
    <t>FE méthane</t>
  </si>
  <si>
    <t>Etransport</t>
  </si>
  <si>
    <t xml:space="preserve">D distance </t>
  </si>
  <si>
    <t>km</t>
  </si>
  <si>
    <t>Batiment</t>
  </si>
  <si>
    <t>FE CH4 système lisier</t>
  </si>
  <si>
    <t>%</t>
  </si>
  <si>
    <t>Qi quantité d'intrants</t>
  </si>
  <si>
    <t>t/an</t>
  </si>
  <si>
    <t>FE CH4 système litière</t>
  </si>
  <si>
    <t>FEtrp transport</t>
  </si>
  <si>
    <t>kg eqCO2/tkm</t>
  </si>
  <si>
    <t>FE CH4 système litière évacuée régulièrement</t>
  </si>
  <si>
    <t>Enc énergie électrique consommée pour le pré-traitement</t>
  </si>
  <si>
    <t>kWhe/t</t>
  </si>
  <si>
    <t>Fegaz_naturel</t>
  </si>
  <si>
    <t>kg eqCO2/kWh</t>
  </si>
  <si>
    <t xml:space="preserve">FE CH4 système plein air </t>
  </si>
  <si>
    <t>A revoir avec Annie SOULIER</t>
  </si>
  <si>
    <t>FEelec</t>
  </si>
  <si>
    <t>stockage extérieur</t>
  </si>
  <si>
    <t>FE CH4 stockage fosse ext truie et porcelets</t>
  </si>
  <si>
    <t>kg de CH4/tête/jour</t>
  </si>
  <si>
    <r>
      <t>ρ</t>
    </r>
    <r>
      <rPr>
        <sz val="8.8000000000000007"/>
        <color theme="1"/>
        <rFont val="Calibri"/>
        <family val="2"/>
      </rPr>
      <t>CH4</t>
    </r>
  </si>
  <si>
    <t>kg/m3</t>
  </si>
  <si>
    <t>ρCO2</t>
  </si>
  <si>
    <t>FE CH4 stockage fosse ext PC et PS</t>
  </si>
  <si>
    <t>Epré-stockage et batiment</t>
  </si>
  <si>
    <t>FEN2O_pre-stock</t>
  </si>
  <si>
    <t>%N</t>
  </si>
  <si>
    <t>FE CH4 compostage</t>
  </si>
  <si>
    <t>kg C-CH4/Kg de C traité</t>
  </si>
  <si>
    <t>FC N-NH3 en NH3</t>
  </si>
  <si>
    <t>FC C-CO2 en CO2</t>
  </si>
  <si>
    <t>FC C-CH4 en CH4</t>
  </si>
  <si>
    <t>Facteur de perte en H</t>
  </si>
  <si>
    <t>kg de MO/kg de CH4 émis</t>
  </si>
  <si>
    <t>Facteur de perte en O</t>
  </si>
  <si>
    <t>kg de MO/kg de CO2 émis</t>
  </si>
  <si>
    <t>FCN-N2O facteur de conversion du N-N2O en N2O</t>
  </si>
  <si>
    <t>Teneur en C de la MO</t>
  </si>
  <si>
    <t>FECH4pre-stock</t>
  </si>
  <si>
    <t>% du BMP</t>
  </si>
  <si>
    <t>FECH4_stock_ext</t>
  </si>
  <si>
    <t>FENH3pre-stock</t>
  </si>
  <si>
    <t>% de la TAN</t>
  </si>
  <si>
    <t>Teneur en N CIVE</t>
  </si>
  <si>
    <t>kg/t de MB</t>
  </si>
  <si>
    <t>Traitement biologique</t>
  </si>
  <si>
    <t>FE CH4 traitement BA</t>
  </si>
  <si>
    <t>kg CH4/kg de C traité</t>
  </si>
  <si>
    <t>Teneur en MO CIVE</t>
  </si>
  <si>
    <t>kg MO/kg MS</t>
  </si>
  <si>
    <t>FE N2O</t>
  </si>
  <si>
    <t>POTCH4 quantité de CH4 produite</t>
  </si>
  <si>
    <t>Nm3</t>
  </si>
  <si>
    <t>FE N stockage sous les animaux</t>
  </si>
  <si>
    <t>kg/kg de N excrété</t>
  </si>
  <si>
    <t>Qsubs quantité de substrat</t>
  </si>
  <si>
    <t>t</t>
  </si>
  <si>
    <t>FE N avec évacuation fréquente (selon gestim)</t>
  </si>
  <si>
    <t>ENelec consommation d'électricité du méthaniseur</t>
  </si>
  <si>
    <t>kWhe/t de substrat</t>
  </si>
  <si>
    <t>QbioT quantité de biogaz produit</t>
  </si>
  <si>
    <t>FE N système litière</t>
  </si>
  <si>
    <t>Pbio pertes en biogaz</t>
  </si>
  <si>
    <t>m3 CH4/m3 CH4 produit ou m3biogaz/m3 biogaz produit</t>
  </si>
  <si>
    <t>FE N systéme litière évacuée régulièrement</t>
  </si>
  <si>
    <t>Taux de recouvrement couverture métha psychrophile</t>
  </si>
  <si>
    <t>FE N2O système plein air</t>
  </si>
  <si>
    <t>FE N2O métha psychrophile</t>
  </si>
  <si>
    <t>0,5 % N (kg/an)</t>
  </si>
  <si>
    <t>FE N2O stockage extérieur</t>
  </si>
  <si>
    <t>kg/kg N</t>
  </si>
  <si>
    <t>TxNH3 du biogaz</t>
  </si>
  <si>
    <t>sans unité</t>
  </si>
  <si>
    <t>FE N2O traitement BA</t>
  </si>
  <si>
    <t>% N traité</t>
  </si>
  <si>
    <t>FEN2O</t>
  </si>
  <si>
    <t>kg NO2/m3 de biogaz</t>
  </si>
  <si>
    <t>kg de N-N2O/kg de N traité</t>
  </si>
  <si>
    <t>ρNH3</t>
  </si>
  <si>
    <t>TAN excrété</t>
  </si>
  <si>
    <t>Txautoc taux de biogaz autoconsommé</t>
  </si>
  <si>
    <t>Voir avec Annie ou Sandrine</t>
  </si>
  <si>
    <t>Evalorisation</t>
  </si>
  <si>
    <t>Emissions dues à la valorisation du biogaz</t>
  </si>
  <si>
    <t>Echaudière</t>
  </si>
  <si>
    <t>Emission en valorisation chaudière</t>
  </si>
  <si>
    <t>QbioV*FEch4*PRGch4</t>
  </si>
  <si>
    <t>TAN excrété truies</t>
  </si>
  <si>
    <t>kg</t>
  </si>
  <si>
    <t>0,7*N excrétée</t>
  </si>
  <si>
    <t>FEch4 emissions durant la combustion du ch4</t>
  </si>
  <si>
    <t>kgCH4/m3 de biogaz</t>
  </si>
  <si>
    <t>Ecogénération</t>
  </si>
  <si>
    <t>Emissions en valorisation cogénération</t>
  </si>
  <si>
    <r>
      <t>(QbioV - (Pbio *QbioV))*Txgaz_echap*(FEch4*</t>
    </r>
    <r>
      <rPr>
        <sz val="11"/>
        <color theme="1"/>
        <rFont val="SimHei"/>
        <family val="3"/>
        <charset val="134"/>
      </rPr>
      <t>ρ</t>
    </r>
    <r>
      <rPr>
        <sz val="7.7"/>
        <color theme="1"/>
        <rFont val="Calibri"/>
        <family val="2"/>
      </rPr>
      <t>CH4*PRGCH4)</t>
    </r>
  </si>
  <si>
    <t>TAN excrété post sevrage</t>
  </si>
  <si>
    <t>FEn2o emissions durant la combustion du N2O</t>
  </si>
  <si>
    <t>kgN2O/m3 de biogaz</t>
  </si>
  <si>
    <t>Einjection</t>
  </si>
  <si>
    <t>Emissions en valorisation par injection</t>
  </si>
  <si>
    <t>Etrait</t>
  </si>
  <si>
    <t>QbioV*Qair_traité*(Ceau*Feeau + ENelec*FEelec)</t>
  </si>
  <si>
    <t>TAN excrété PC</t>
  </si>
  <si>
    <t>QbioV volume de biogaz produit</t>
  </si>
  <si>
    <t>+</t>
  </si>
  <si>
    <t>TAN restante au stockage</t>
  </si>
  <si>
    <t>part de l'azote total stocké</t>
  </si>
  <si>
    <t>FE NNH3</t>
  </si>
  <si>
    <t>Txtorchère pourcentage du biogaz brulé par sécurité</t>
  </si>
  <si>
    <t>m3 biogaz torché/m3 biogaz</t>
  </si>
  <si>
    <t>Eepur</t>
  </si>
  <si>
    <t xml:space="preserve">QbioV * (FE_elec * (EN_elec + EN_elec_séchage ) + C_charbon * FE_charbon + P_bio * tx_ch4/biogaz * PRG_ch4 * FCn_mv </t>
  </si>
  <si>
    <t>FE NH3 truie et porcelet système lisier</t>
  </si>
  <si>
    <t>kg/kg de TAN excrété</t>
  </si>
  <si>
    <t>FEch4 emissions durant le torchage du biogaz</t>
  </si>
  <si>
    <t>kg CH4/m3 de biogaz</t>
  </si>
  <si>
    <t>Egest-dig</t>
  </si>
  <si>
    <t>Emissions liées à la gestion des digestats</t>
  </si>
  <si>
    <t>Edig_trait</t>
  </si>
  <si>
    <t>FEn2o emissions durant le torchage du biogaz</t>
  </si>
  <si>
    <t>kg N2O/m3 de biogaz</t>
  </si>
  <si>
    <t>FE NH3 PC système lisier</t>
  </si>
  <si>
    <t>Txgaz_échap</t>
  </si>
  <si>
    <t>m3 de gaz d'échappement/m3 de biogaz</t>
  </si>
  <si>
    <t>FE NH3 truies et porcelets système litière</t>
  </si>
  <si>
    <t>FEch4 émissions durant la cogénération</t>
  </si>
  <si>
    <t>m3 de CH4/m3 de gaz d'échappement</t>
  </si>
  <si>
    <t>Edig_stock</t>
  </si>
  <si>
    <t>FE NH3 système plein air</t>
  </si>
  <si>
    <t>Qair_traité</t>
  </si>
  <si>
    <t>Nm3 d'air traité/Nm3 de biogaz</t>
  </si>
  <si>
    <t>FE NH3 PC système litière</t>
  </si>
  <si>
    <t>Ceau consommation d'eau</t>
  </si>
  <si>
    <t>m3/Nm3 d'air traité</t>
  </si>
  <si>
    <t>Stockage</t>
  </si>
  <si>
    <t>FE NH3 stockage lisier truie et porcelets</t>
  </si>
  <si>
    <t>kg/kg de TAN stockée</t>
  </si>
  <si>
    <t>ENelec consommation d'électricité</t>
  </si>
  <si>
    <t>kWhé/Nm3 d'air traité</t>
  </si>
  <si>
    <t>FE NH3 stockage lisier PC</t>
  </si>
  <si>
    <t>FEeau</t>
  </si>
  <si>
    <t>kg eqCO2/m3</t>
  </si>
  <si>
    <t>FE NH3 traitement BA</t>
  </si>
  <si>
    <t>Epuration</t>
  </si>
  <si>
    <t>EN_elec conso électrique/Nm3 de biogaz produit</t>
  </si>
  <si>
    <t>kWh/Nm3 de biogaz</t>
  </si>
  <si>
    <t>kg N-NH3/kg de N traité</t>
  </si>
  <si>
    <t>Alimentation</t>
  </si>
  <si>
    <t>Teneur en MO de l'aliment</t>
  </si>
  <si>
    <t>EN_elec_séchage conso électrique pour le séchage du biogaz</t>
  </si>
  <si>
    <t>digestabilité de la MO</t>
  </si>
  <si>
    <t>C_charbon</t>
  </si>
  <si>
    <t>g/Nm3 de biogaz</t>
  </si>
  <si>
    <t>N excrété/PC pour toute la duréel'engraissement</t>
  </si>
  <si>
    <t>FE_charbon</t>
  </si>
  <si>
    <t>kg eqCO2/kg</t>
  </si>
  <si>
    <t>N excrété/PS pour toute la durée du sevrage</t>
  </si>
  <si>
    <t>kg/PS</t>
  </si>
  <si>
    <t>P_bio</t>
  </si>
  <si>
    <t>sans unités</t>
  </si>
  <si>
    <t>FE CO2</t>
  </si>
  <si>
    <t>Digestat</t>
  </si>
  <si>
    <t>FE CO2 stockage fosse ext</t>
  </si>
  <si>
    <t>kg/t de lisier</t>
  </si>
  <si>
    <t>expression du BMP au stockage du digestat</t>
  </si>
  <si>
    <t>BMP</t>
  </si>
  <si>
    <t>BMP PC fin de bande</t>
  </si>
  <si>
    <t>Protortion de TAN dans le digestat</t>
  </si>
  <si>
    <t>% du N total (bovin)</t>
  </si>
  <si>
    <t>BMP PC lisier frais</t>
  </si>
  <si>
    <t>% du N total (volaille)</t>
  </si>
  <si>
    <t>BMP PC evacuation mensuelle et raclage à plat</t>
  </si>
  <si>
    <t>% du N total (porc)</t>
  </si>
  <si>
    <t>BMP PC raclage en V</t>
  </si>
  <si>
    <t>BMP PC litière fraiche</t>
  </si>
  <si>
    <t>BMP PC litière début de stockage</t>
  </si>
  <si>
    <t>BMP Truie après 3 mois</t>
  </si>
  <si>
    <t>Pouvoir de réchauffement global</t>
  </si>
  <si>
    <t>PRG N2O</t>
  </si>
  <si>
    <t>BMP Truie lisier frais</t>
  </si>
  <si>
    <t>PseudoPRGNH3</t>
  </si>
  <si>
    <t>BMP Truie évacuation mensuelle</t>
  </si>
  <si>
    <t>Activation ou non des fuites pour les ruminants</t>
  </si>
  <si>
    <t>0 ou 1</t>
  </si>
  <si>
    <t>BMP Truie litière fraiche</t>
  </si>
  <si>
    <t>BMP fumier truie 2 mois</t>
  </si>
  <si>
    <t>BMP PS frais</t>
  </si>
  <si>
    <t>BMP PS fin de bande</t>
  </si>
  <si>
    <t>Emission à 30 jours</t>
  </si>
  <si>
    <t>Ammoniac PC</t>
  </si>
  <si>
    <t>par rapport à l'azote total initial</t>
  </si>
  <si>
    <t>Emission évacuation fréquente</t>
  </si>
  <si>
    <t>% abattement des émissions d'ammoniac en batiment</t>
  </si>
  <si>
    <t>% d'abattement des émissions de N2O raclage en V</t>
  </si>
  <si>
    <t>% d'abattement des émissions de N2O raclage à plat</t>
  </si>
  <si>
    <t>% d'augmentation des émissions d'ammoniac due au raclage à plat</t>
  </si>
  <si>
    <t>FE N2O avec évacuation fréquente (selon RMT)</t>
  </si>
  <si>
    <t>% du N excrété</t>
  </si>
  <si>
    <t>Ammoniac Truie</t>
  </si>
  <si>
    <t>Composition du biogaz</t>
  </si>
  <si>
    <t>Part de CH4</t>
  </si>
  <si>
    <t>Part de CO2</t>
  </si>
  <si>
    <t>Effluent produit</t>
  </si>
  <si>
    <t>Fumier poulet de chair</t>
  </si>
  <si>
    <t>Fumier de PAG</t>
  </si>
  <si>
    <t>Lisier canard gras</t>
  </si>
  <si>
    <t>m3/an</t>
  </si>
  <si>
    <t>Lisier canard à rôtir</t>
  </si>
  <si>
    <t>Effluent produit par emplacement d'animal</t>
  </si>
  <si>
    <t>t/emplacement d'animal/an</t>
  </si>
  <si>
    <t>m3/emplacement d'animal/an</t>
  </si>
  <si>
    <t>Taux de MO dans les effluents</t>
  </si>
  <si>
    <t>kg de MO/kg de produit brut</t>
  </si>
  <si>
    <t>MO Effluent produit</t>
  </si>
  <si>
    <t>Valeurs IPCC</t>
  </si>
  <si>
    <t>kg matière organique animal-1 jour-1</t>
  </si>
  <si>
    <t>kg matière organique animal-1 jour-2</t>
  </si>
  <si>
    <t>n-c</t>
  </si>
  <si>
    <t>kg matière organique animal-1 jour-3</t>
  </si>
  <si>
    <t>kg matière organique animal-1 jour-4</t>
  </si>
  <si>
    <t>N Excrété</t>
  </si>
  <si>
    <t>kg N animal-1.an-1</t>
  </si>
  <si>
    <t>Fumier de Prets A Gaver</t>
  </si>
  <si>
    <t>TAN Excrété</t>
  </si>
  <si>
    <t>kg TANexcrété animal-1.an-1</t>
  </si>
  <si>
    <t>FE NH3 Batiment</t>
  </si>
  <si>
    <t>kg N-NH3/kg TAN excrété</t>
  </si>
  <si>
    <t>TAN entrée Stockage</t>
  </si>
  <si>
    <t>kg TAN stockage  animal-1.an-1</t>
  </si>
  <si>
    <t>FE NH3 Stockage</t>
  </si>
  <si>
    <t>kg N-NH3/kg TAN stocké</t>
  </si>
  <si>
    <t>IPCC</t>
  </si>
  <si>
    <t>m3/kg SV</t>
  </si>
  <si>
    <t>ABILE</t>
  </si>
  <si>
    <t>FCM  % d'expression du BMP</t>
  </si>
  <si>
    <t>Fumier de volaille avec litière</t>
  </si>
  <si>
    <t>Stockage fosse  &lt; 1 mois</t>
  </si>
  <si>
    <t>Stockage fosse &gt; 1 mois (14°C)</t>
  </si>
  <si>
    <t>Batiment &amp; stockage</t>
  </si>
  <si>
    <t>kgCH4.animal-1.an-1</t>
  </si>
  <si>
    <t>Fumier de poulet de chair composté</t>
  </si>
  <si>
    <t>Fumier de PAG composté</t>
  </si>
  <si>
    <t>Emissions métha collective</t>
  </si>
  <si>
    <t>Lisier canard gras (stocké + 1mois en fosse non couverte)= Avec raclage</t>
  </si>
  <si>
    <t>Emissions en kg eqCO2</t>
  </si>
  <si>
    <t>Lisier canard à rôtir (stocké + 1 mois en fosse non couverte)= Avec raclage</t>
  </si>
  <si>
    <t>Een</t>
  </si>
  <si>
    <t>=</t>
  </si>
  <si>
    <t>Sha*Ccarb*FEen_gazole*nb_d'adhérents</t>
  </si>
  <si>
    <t>20*85*3,17</t>
  </si>
  <si>
    <t>Lisier canard gras (stocké + 1mois en fosse non couverte)= Sans  raclage</t>
  </si>
  <si>
    <t>Sha*(QN/ha*(FENmin + FEN_ep*PRGN2O) + QP2O5/ha*FEP2O5 + QK2O/ha*FEK2O*nb_d'adhérents</t>
  </si>
  <si>
    <t>20*(80*(5,34 + 0,021*265) + 30*0,57 + 50*0,45</t>
  </si>
  <si>
    <t>Lisier canard à rôtir (stocké + 1 mois en fosse non couverte)= Sans raclage</t>
  </si>
  <si>
    <t>Sa</t>
  </si>
  <si>
    <t>FS*FCc_co2*nb_d'adhérents</t>
  </si>
  <si>
    <t>130*3,67</t>
  </si>
  <si>
    <t>Coefficient abattement</t>
  </si>
  <si>
    <t>Epre_trait</t>
  </si>
  <si>
    <t xml:space="preserve">ENc*Qi_broyés*FEelec </t>
  </si>
  <si>
    <t>3,3*120*0,0571</t>
  </si>
  <si>
    <t>Eprod</t>
  </si>
  <si>
    <t>Qsub*Enelec*Feelec</t>
  </si>
  <si>
    <t>5,1*0,0571 par tonne de substrat</t>
  </si>
  <si>
    <t>Couverture</t>
  </si>
  <si>
    <t xml:space="preserve"> -80% sur N-NH3</t>
  </si>
  <si>
    <t>Pbio*QCH4 et Pbio*QNH3 et Pbio*QN2O</t>
  </si>
  <si>
    <t>Raclage</t>
  </si>
  <si>
    <t xml:space="preserve"> -30% sur N-NH3</t>
  </si>
  <si>
    <t>Eautoc</t>
  </si>
  <si>
    <t>Type de sol</t>
  </si>
  <si>
    <t>Etorch</t>
  </si>
  <si>
    <t>Tx_torchère*QCH4*FE_combustionCH4 et Tx_torchère*QN2O*FE_combustionN2O</t>
  </si>
  <si>
    <t>Selon mat. Litière</t>
  </si>
  <si>
    <t>Emissions en kg eq CO2</t>
  </si>
  <si>
    <t xml:space="preserve">Emissions </t>
  </si>
  <si>
    <t xml:space="preserve">Optimisé </t>
  </si>
  <si>
    <t>moins 15% sur N-NH3 au batiment</t>
  </si>
  <si>
    <t>TxTorchère*QCH4*FECH4</t>
  </si>
  <si>
    <t>FE N2O directe</t>
  </si>
  <si>
    <t>Echaud</t>
  </si>
  <si>
    <t>(1-TxTorchère)*QCH4*FECH4</t>
  </si>
  <si>
    <t>0,98*QCH4*0,0041</t>
  </si>
  <si>
    <t>kg N2O-N/kg N excrété</t>
  </si>
  <si>
    <t>Emissions métha mésophile</t>
  </si>
  <si>
    <t>Ecogénératio</t>
  </si>
  <si>
    <t>(Qbiov-(Pbio + Txtorchère)*Qbiov)*Txgaz_echap*QCH4</t>
  </si>
  <si>
    <t>0,93*0,671*QCH4</t>
  </si>
  <si>
    <t>Ebiométhane</t>
  </si>
  <si>
    <t>Qbiov*Qair_traité*(Ceau*FEeau + ENelec*FEelec)</t>
  </si>
  <si>
    <t>Qbiov*374*(0,000005*0,132 + 0,001*0,0571)</t>
  </si>
  <si>
    <t>Sha*Ccarb*FEen_gazole</t>
  </si>
  <si>
    <t xml:space="preserve">Qbiov*(FEelec*(ENelec*ENelec_séchage) + Ccharbon * FEcharbon  </t>
  </si>
  <si>
    <t>Qbiov*(0,0571*(0,3+0,044)+0,00015*3,22</t>
  </si>
  <si>
    <t>Sha*(QN/ha*(FENmin + FEN_ep*PRGN2O) + QP2O5/ha*FEP2O5 + QK2O/ha*FEK2O</t>
  </si>
  <si>
    <t>FS*FCc_co2</t>
  </si>
  <si>
    <t>Ruminant</t>
  </si>
  <si>
    <t>Eproc_metha</t>
  </si>
  <si>
    <t>Fermentation entérique</t>
  </si>
  <si>
    <t>Unités</t>
  </si>
  <si>
    <t>Vache laitière</t>
  </si>
  <si>
    <t>Génisse laitière</t>
  </si>
  <si>
    <t>Vache allaitante</t>
  </si>
  <si>
    <t>Veaux de boucherie</t>
  </si>
  <si>
    <t>Brebis allaitante</t>
  </si>
  <si>
    <t>Chèvre laitière</t>
  </si>
  <si>
    <t>Effectif du troupeau</t>
  </si>
  <si>
    <t>Nb de têtes</t>
  </si>
  <si>
    <t>Alimentation et fermentations entériques</t>
  </si>
  <si>
    <t>Matière sèche de la ration (MS)</t>
  </si>
  <si>
    <t>Matière organique de la ration (MO)</t>
  </si>
  <si>
    <t>g/kg MS</t>
  </si>
  <si>
    <t>Digestibilité de la ration (dMO corrigée)</t>
  </si>
  <si>
    <t>Matière organique digestible corrigée (MOD corrigée)</t>
  </si>
  <si>
    <t>Matière organique non digestible (MOND)</t>
  </si>
  <si>
    <t>Méthane entérique (CH4)</t>
  </si>
  <si>
    <t>g/jour</t>
  </si>
  <si>
    <t>g/kg MOD</t>
  </si>
  <si>
    <t>Niveau 1</t>
  </si>
  <si>
    <r>
      <t>FE - CH</t>
    </r>
    <r>
      <rPr>
        <b/>
        <vertAlign val="subscript"/>
        <sz val="11"/>
        <color theme="1"/>
        <rFont val="Calibri"/>
        <family val="2"/>
        <scheme val="minor"/>
      </rPr>
      <t>4 Entérique</t>
    </r>
  </si>
  <si>
    <t>IPCC 2006</t>
  </si>
  <si>
    <t>Facteur d'émission de méthane</t>
  </si>
  <si>
    <r>
      <t>kg CH</t>
    </r>
    <r>
      <rPr>
        <vertAlign val="subscript"/>
        <sz val="11"/>
        <color theme="1"/>
        <rFont val="Calibri"/>
        <family val="2"/>
        <scheme val="minor"/>
      </rPr>
      <t>4</t>
    </r>
    <r>
      <rPr>
        <sz val="11"/>
        <color theme="1"/>
        <rFont val="Calibri"/>
        <family val="2"/>
        <scheme val="minor"/>
      </rPr>
      <t>/animal/an</t>
    </r>
  </si>
  <si>
    <t>Teneur en MO des déjéctions</t>
  </si>
  <si>
    <t>kg d'effluents/animal/an</t>
  </si>
  <si>
    <t>Lisiers</t>
  </si>
  <si>
    <t>Fumiers mou</t>
  </si>
  <si>
    <t>Fumier très compact litière accumulée</t>
  </si>
  <si>
    <t>Batiment et stockage</t>
  </si>
  <si>
    <t>MO excrétée</t>
  </si>
  <si>
    <t>MO excrété kg/animal/j</t>
  </si>
  <si>
    <t>BMP kg CH4/kg de MO excrétée</t>
  </si>
  <si>
    <t>FCM</t>
  </si>
  <si>
    <t>Facteur de conversion du méthane selon le système de gestion des déjections</t>
  </si>
  <si>
    <t>Litière accumulée avec curage &lt; 1 mois et stockage au champs</t>
  </si>
  <si>
    <t>Litière accumulée avec curage &gt; 1 mois et stockage au champs</t>
  </si>
  <si>
    <t>Autres</t>
  </si>
  <si>
    <t>FUMIER - couloirs raclés et stockage en fumière</t>
  </si>
  <si>
    <t>FUMIER - méthanisation</t>
  </si>
  <si>
    <t>LISIER - couloirs raclés et stockage en fosse non couverte (ou couv. par charpente)</t>
  </si>
  <si>
    <t>LISIER - couloirs raclés et stockage en fosse avec présence d'une croûte naturelle</t>
  </si>
  <si>
    <t>LISIER - couloirs raclés et stockage en fosse couverte</t>
  </si>
  <si>
    <t>LISIER - caillebotis</t>
  </si>
  <si>
    <t>LISIER - méthanisation</t>
  </si>
  <si>
    <t>Pâturage</t>
  </si>
  <si>
    <t>N excrété</t>
  </si>
  <si>
    <t>kg N/1000kg poids vif/an</t>
  </si>
  <si>
    <t>Poid vif en kg/animal</t>
  </si>
  <si>
    <t>kg/animal</t>
  </si>
  <si>
    <t>kg/animal/an</t>
  </si>
  <si>
    <r>
      <t>FE - N</t>
    </r>
    <r>
      <rPr>
        <b/>
        <vertAlign val="subscript"/>
        <sz val="11"/>
        <color theme="1"/>
        <rFont val="Calibri"/>
        <family val="2"/>
        <scheme val="minor"/>
      </rPr>
      <t>2</t>
    </r>
    <r>
      <rPr>
        <b/>
        <sz val="11"/>
        <color theme="1"/>
        <rFont val="Calibri"/>
        <family val="2"/>
        <scheme val="minor"/>
      </rPr>
      <t xml:space="preserve">O </t>
    </r>
    <r>
      <rPr>
        <b/>
        <vertAlign val="subscript"/>
        <sz val="11"/>
        <color theme="1"/>
        <rFont val="Calibri"/>
        <family val="2"/>
        <scheme val="minor"/>
      </rPr>
      <t>Bâtiment &amp; stockage</t>
    </r>
  </si>
  <si>
    <r>
      <t>kg N</t>
    </r>
    <r>
      <rPr>
        <vertAlign val="subscript"/>
        <sz val="11"/>
        <color theme="1"/>
        <rFont val="Calibri"/>
        <family val="2"/>
        <scheme val="minor"/>
      </rPr>
      <t>2</t>
    </r>
    <r>
      <rPr>
        <sz val="11"/>
        <color theme="1"/>
        <rFont val="Calibri"/>
        <family val="2"/>
        <scheme val="minor"/>
      </rPr>
      <t>O-N/kg N excrété</t>
    </r>
  </si>
  <si>
    <t>Facteur d'émission de protoxyde d'azote</t>
  </si>
  <si>
    <t>Fumier - litière accumulée</t>
  </si>
  <si>
    <t>Fumier - raclage quotidien et stockage en fumière</t>
  </si>
  <si>
    <t>Lisier - raclage quotidien et stockage en fosse avec crôute naturelle</t>
  </si>
  <si>
    <t>Lisier - raclage quotidien et stockage en fosse sans crôute naturelle</t>
  </si>
  <si>
    <t>Lisier - stockage sous caillebotis</t>
  </si>
  <si>
    <t>FE NH3</t>
  </si>
  <si>
    <t>Effluent  liquide</t>
  </si>
  <si>
    <t>Effluent solide</t>
  </si>
  <si>
    <t>Autre bovin</t>
  </si>
  <si>
    <t>Effluent liquide</t>
  </si>
  <si>
    <t>Division des émissions entre batiment et stockage</t>
  </si>
  <si>
    <t>stockage</t>
  </si>
  <si>
    <t>NH3</t>
  </si>
  <si>
    <t>CH4</t>
  </si>
  <si>
    <t>Abattement au stockage par couverture des fosses</t>
  </si>
  <si>
    <t>Emissions de la conduite d'élevage</t>
  </si>
  <si>
    <t>Emissions au stockage/évacuation des déjections</t>
  </si>
  <si>
    <t>Emissions au traitement</t>
  </si>
  <si>
    <t>Emissions à la valorisation du biogaz</t>
  </si>
  <si>
    <t>Emissions à l'épandage</t>
  </si>
  <si>
    <t>Emissions évitée par la substitution d'énergie</t>
  </si>
  <si>
    <t>Emissions au stockage du digestat</t>
  </si>
  <si>
    <t>Stade physiologique</t>
  </si>
  <si>
    <t>Conduite d'élevage</t>
  </si>
  <si>
    <t>Emissions N2O</t>
  </si>
  <si>
    <t>Emissions CO2</t>
  </si>
  <si>
    <t>Emissions CH4</t>
  </si>
  <si>
    <t>Emissions NH3</t>
  </si>
  <si>
    <t>Emissions N-NH3</t>
  </si>
  <si>
    <t>Emissions eq CO2</t>
  </si>
  <si>
    <t>Emissions eqCO2</t>
  </si>
  <si>
    <t>Détail du calcul</t>
  </si>
  <si>
    <t>Valeur du FE</t>
  </si>
  <si>
    <t>Truies</t>
  </si>
  <si>
    <t>Caillebotis</t>
  </si>
  <si>
    <t>Voir dans la partie stockage</t>
  </si>
  <si>
    <t>FE système lisier*Moexcrétée*B0*0,67</t>
  </si>
  <si>
    <t>FE NH3 truies système lisier*TAN excrétée*17/14</t>
  </si>
  <si>
    <t>Fosse sous caillebotis (truie, PC et PS)</t>
  </si>
  <si>
    <t>FE stockage sous les animaux*N excrété*44/28*FCN-N2O en N2O</t>
  </si>
  <si>
    <t>Fosse extérieure truie et porcelets</t>
  </si>
  <si>
    <t>FE*N stockée</t>
  </si>
  <si>
    <t>FE*365</t>
  </si>
  <si>
    <t>FE*TAN stockée*17/14</t>
  </si>
  <si>
    <t>Digestat brut</t>
  </si>
  <si>
    <t>QN*FE*FCN-N2O</t>
  </si>
  <si>
    <t>QCH4*FE</t>
  </si>
  <si>
    <t>QTAN*FE</t>
  </si>
  <si>
    <t>Buse palette</t>
  </si>
  <si>
    <t>Ndigestat*FE</t>
  </si>
  <si>
    <t>chaudière</t>
  </si>
  <si>
    <t>VCH4*rdt_energétiqueCH4*rdt_chaudière*FE_elec</t>
  </si>
  <si>
    <t>Litière</t>
  </si>
  <si>
    <t>FE N2O litière*N excrété*44/28*FC N-N2O en N2O</t>
  </si>
  <si>
    <t>FE système litière*Moexcrétée*B0*0,67</t>
  </si>
  <si>
    <t>FE NH3 truies et porcelet système litière*TAN excrétée*17/14</t>
  </si>
  <si>
    <t>Evacuation 1 fois/mois</t>
  </si>
  <si>
    <t>Fosse extérieure PC et PS</t>
  </si>
  <si>
    <t>FE*TAN stockée*17/15</t>
  </si>
  <si>
    <t>(1-Txtorchère)*QbioV*FE</t>
  </si>
  <si>
    <t>(1-Txtorchère)*Qbiogaz*FE</t>
  </si>
  <si>
    <t>Digestat solide</t>
  </si>
  <si>
    <t>Pendillard</t>
  </si>
  <si>
    <t>VCH4*rdt_energétiqueCH4*rdt_cogé*FE_elec</t>
  </si>
  <si>
    <t>Plein air</t>
  </si>
  <si>
    <t>FE*N excrété*44/28</t>
  </si>
  <si>
    <t>FE système plein air*Moexcrétée*B0*0,67</t>
  </si>
  <si>
    <t>FE NH3 système plein air*TAN excrétée*17/14</t>
  </si>
  <si>
    <t>FE N2O évacuation fréquente*N excrété*44/28</t>
  </si>
  <si>
    <t>Traitement par boues bioactives</t>
  </si>
  <si>
    <t>FE*N traité*44/28</t>
  </si>
  <si>
    <t>FE*C traité*16/14</t>
  </si>
  <si>
    <t>FE*N traité*17/14</t>
  </si>
  <si>
    <t>(QbioV-(Pbio + Txtorchère)*QbioV)*Txgaz_echap*FECH4</t>
  </si>
  <si>
    <t>Digestat liquide</t>
  </si>
  <si>
    <t>Enfouisseur</t>
  </si>
  <si>
    <t>VCH4*rdt_energétiqueCH4*rdt_injection*FE_gaz naturel</t>
  </si>
  <si>
    <t>Porcs charcutiers</t>
  </si>
  <si>
    <t>FE NH3 PC et PS système lisier*TAN excrétée*17/14*FC N-NH3 en NH3</t>
  </si>
  <si>
    <t>Métha psychrophile</t>
  </si>
  <si>
    <t>0,05*QN2O + QN2O*FE</t>
  </si>
  <si>
    <t>0,05*QCH4 + 0,02*QCH4*FE sauf valorisation torchère : 0,05*QCH4 + QCH4*FE</t>
  </si>
  <si>
    <t>0,05*QbioV*TxNH3</t>
  </si>
  <si>
    <t>Qsub*ENelec*FE</t>
  </si>
  <si>
    <t xml:space="preserve"> QbioV*Qair_traité*(Ceau*FE_eau + EN_elec*FE_elec) + Qbiov*(FEelec*(ENelec*ENelec_séchage) + Ccharbon * FEcharbon  </t>
  </si>
  <si>
    <t>QbioV*Pbio*txCH4*FC_N_MV</t>
  </si>
  <si>
    <t>FE NH3 PC système litière*TAN excrétée*17/14</t>
  </si>
  <si>
    <t>Litière stockage</t>
  </si>
  <si>
    <t>FE*44/28*Ntotale_stockée</t>
  </si>
  <si>
    <t>FE*17/14*Ntotale_stockée</t>
  </si>
  <si>
    <t>Métha mésophile</t>
  </si>
  <si>
    <t>0,05*QN2O + 0,02*QN2O*FE</t>
  </si>
  <si>
    <t>0,05*QCH4 + 0,02*QCH4*FE_torchage</t>
  </si>
  <si>
    <t>Qsub*Enelec*FE</t>
  </si>
  <si>
    <t>FE*N excrété*44/28*FCN-N2O en N2O</t>
  </si>
  <si>
    <t>Métha collective</t>
  </si>
  <si>
    <t>0,05*QCH4 + 0,02*QCH4*FE</t>
  </si>
  <si>
    <t>FE*Ntraité*44/28</t>
  </si>
  <si>
    <t>FE*Ctraité*16/14</t>
  </si>
  <si>
    <t>FE*Ntraité*17/14</t>
  </si>
  <si>
    <t>FE N2O litière*N excrété*44/28</t>
  </si>
  <si>
    <t>Emissions</t>
  </si>
  <si>
    <t>Poulet de chair</t>
  </si>
  <si>
    <t>PAG</t>
  </si>
  <si>
    <t>Canard gras</t>
  </si>
  <si>
    <t>Canard à rotir</t>
  </si>
  <si>
    <t>Bovin</t>
  </si>
  <si>
    <t>Bilan de matière de la conduite d'élevage</t>
  </si>
  <si>
    <t>Bilan de matière au stockage/évacuation des déjections</t>
  </si>
  <si>
    <t>Bilan de matière au traitement</t>
  </si>
  <si>
    <t>Bilan de matière à la valorisation du biogaz</t>
  </si>
  <si>
    <t>Bilan de matière à l'épandage</t>
  </si>
  <si>
    <t>Indice de consommation</t>
  </si>
  <si>
    <t>Gain de poids durant le stade physiologique kg</t>
  </si>
  <si>
    <t>Nombre de bande/an</t>
  </si>
  <si>
    <t>Quantité d'aliment kg/place/an</t>
  </si>
  <si>
    <t>Entrées</t>
  </si>
  <si>
    <t>MO excrétée kg/place/an</t>
  </si>
  <si>
    <t>N excrété kg/place/an</t>
  </si>
  <si>
    <t xml:space="preserve"> quantité d'aliment * teneur en MO de l'aliment * (1-digestabilité de la MO)</t>
  </si>
  <si>
    <t>Caillebotis et raclage en V</t>
  </si>
  <si>
    <t>Evacuation mensuelle</t>
  </si>
  <si>
    <t>Espèce de volaille</t>
  </si>
  <si>
    <t>MO excrétée kg/animal/an</t>
  </si>
  <si>
    <r>
      <t>Coût de l'épargne des émissions directes de GES</t>
    </r>
    <r>
      <rPr>
        <b/>
        <vertAlign val="superscript"/>
        <sz val="20"/>
        <color theme="1"/>
        <rFont val="Calibri"/>
        <family val="2"/>
        <scheme val="minor"/>
      </rPr>
      <t>(*)</t>
    </r>
    <r>
      <rPr>
        <b/>
        <sz val="20"/>
        <color theme="1"/>
        <rFont val="Calibri"/>
        <family val="2"/>
        <scheme val="minor"/>
      </rPr>
      <t xml:space="preserve"> en élevage</t>
    </r>
  </si>
  <si>
    <t>Nature des productions animales sur le site d'élevage</t>
  </si>
  <si>
    <r>
      <t>Emissions t Eq. CO</t>
    </r>
    <r>
      <rPr>
        <b/>
        <vertAlign val="subscript"/>
        <sz val="10"/>
        <color theme="1"/>
        <rFont val="Calibri"/>
        <family val="2"/>
        <scheme val="minor"/>
      </rPr>
      <t>2</t>
    </r>
    <r>
      <rPr>
        <b/>
        <sz val="10"/>
        <color theme="1"/>
        <rFont val="Calibri"/>
        <family val="2"/>
        <scheme val="minor"/>
      </rPr>
      <t>/an</t>
    </r>
  </si>
  <si>
    <t>A conserver ci-dessous pour les menus déroulants</t>
  </si>
  <si>
    <t>Catégorie d'animal</t>
  </si>
  <si>
    <t>en bâtiment</t>
  </si>
  <si>
    <t>Animaux présents ou places</t>
  </si>
  <si>
    <t>Conduite standard</t>
  </si>
  <si>
    <t>Conduites alternatives</t>
  </si>
  <si>
    <t>Mode de gestion/valorisation des effluents en sortie de bâtiment</t>
  </si>
  <si>
    <t>Suggestion paramètres économiques</t>
  </si>
  <si>
    <t>Qté de déjection (en t/an)</t>
  </si>
  <si>
    <t>MO/MB</t>
  </si>
  <si>
    <t>Production énergie (kWh/an)</t>
  </si>
  <si>
    <t>Menus déroulants</t>
  </si>
  <si>
    <t>Vaches laitières</t>
  </si>
  <si>
    <t>Métha. psychrophile + chaudière</t>
  </si>
  <si>
    <t>Méthanisation psychrophile + chaudière</t>
  </si>
  <si>
    <t>Logette fumier raclé</t>
  </si>
  <si>
    <t>Métha. mésophile + cogé.</t>
  </si>
  <si>
    <t>€</t>
  </si>
  <si>
    <t>Litière accumulé (1 curage/3 sem.)</t>
  </si>
  <si>
    <t>Litière accumulée (1 curage/semaine)</t>
  </si>
  <si>
    <t>Fonctionnement</t>
  </si>
  <si>
    <t>Méthanisation mésophile + cogénération</t>
  </si>
  <si>
    <t>Puissance installée</t>
  </si>
  <si>
    <t>kWe</t>
  </si>
  <si>
    <t>Litière accumulé (1 curage/3 à 6 mois)</t>
  </si>
  <si>
    <t>Vaches allaitantes</t>
  </si>
  <si>
    <t>Taurillons</t>
  </si>
  <si>
    <t>Paramètres économiques à retenir</t>
  </si>
  <si>
    <t>Coûts étape de méthanisation et valorisation du biogaz</t>
  </si>
  <si>
    <t>PORCINS</t>
  </si>
  <si>
    <t>Lisier stocké en préfosse</t>
  </si>
  <si>
    <t>Raclage_à_plat_quotidien</t>
  </si>
  <si>
    <t>Post-sevrage</t>
  </si>
  <si>
    <t>Pré_stockage_lisier_sous_caillebotis</t>
  </si>
  <si>
    <t>Valorisation kWh produit/épargné</t>
  </si>
  <si>
    <t>ct€/kWh</t>
  </si>
  <si>
    <t>Poulets de chair</t>
  </si>
  <si>
    <t>Recettes ou épargne</t>
  </si>
  <si>
    <t>Canards PAG</t>
  </si>
  <si>
    <t>Surcoût d'investissement raclage à plat bâtiment porc</t>
  </si>
  <si>
    <t>Canards au gavage</t>
  </si>
  <si>
    <t>Raclage quotidien</t>
  </si>
  <si>
    <t>Engraissement</t>
  </si>
  <si>
    <t>€/place</t>
  </si>
  <si>
    <t>Gestante</t>
  </si>
  <si>
    <t>RESULTATS</t>
  </si>
  <si>
    <t>kWe brut produit</t>
  </si>
  <si>
    <t>TOTAUX</t>
  </si>
  <si>
    <r>
      <t>t Eq. CO</t>
    </r>
    <r>
      <rPr>
        <b/>
        <vertAlign val="subscript"/>
        <sz val="14"/>
        <color theme="1"/>
        <rFont val="Calibri"/>
        <family val="2"/>
        <scheme val="minor"/>
      </rPr>
      <t>2</t>
    </r>
    <r>
      <rPr>
        <b/>
        <sz val="14"/>
        <color theme="1"/>
        <rFont val="Calibri"/>
        <family val="2"/>
        <scheme val="minor"/>
      </rPr>
      <t>/an</t>
    </r>
  </si>
  <si>
    <t>Différence</t>
  </si>
  <si>
    <t>Indicateurs financiers</t>
  </si>
  <si>
    <r>
      <t>Estimation coût à la t Eq. CO</t>
    </r>
    <r>
      <rPr>
        <b/>
        <vertAlign val="subscript"/>
        <sz val="14"/>
        <color theme="1"/>
        <rFont val="Calibri"/>
        <family val="2"/>
        <scheme val="minor"/>
      </rPr>
      <t>2</t>
    </r>
    <r>
      <rPr>
        <b/>
        <sz val="14"/>
        <color theme="1"/>
        <rFont val="Calibri"/>
        <family val="2"/>
        <scheme val="minor"/>
      </rPr>
      <t xml:space="preserve"> épargné</t>
    </r>
  </si>
  <si>
    <r>
      <t>€/t Eq. CO</t>
    </r>
    <r>
      <rPr>
        <b/>
        <vertAlign val="subscript"/>
        <sz val="14"/>
        <color theme="1"/>
        <rFont val="Calibri"/>
        <family val="2"/>
        <scheme val="minor"/>
      </rPr>
      <t>2</t>
    </r>
  </si>
  <si>
    <t>Durée d'amortissement</t>
  </si>
  <si>
    <t>taux d'emprunt</t>
  </si>
  <si>
    <r>
      <t>(*) Emissions directes de GES: Gaz à Effet de Serre issues des fermentations entériques et des déjections animales, émissions de CH</t>
    </r>
    <r>
      <rPr>
        <vertAlign val="subscript"/>
        <sz val="9"/>
        <color theme="1"/>
        <rFont val="Calibri"/>
        <family val="2"/>
        <scheme val="minor"/>
      </rPr>
      <t>4</t>
    </r>
    <r>
      <rPr>
        <sz val="9"/>
        <color theme="1"/>
        <rFont val="Calibri"/>
        <family val="2"/>
        <scheme val="minor"/>
      </rPr>
      <t xml:space="preserve"> et N</t>
    </r>
    <r>
      <rPr>
        <vertAlign val="subscript"/>
        <sz val="9"/>
        <color theme="1"/>
        <rFont val="Calibri"/>
        <family val="2"/>
        <scheme val="minor"/>
      </rPr>
      <t>2</t>
    </r>
    <r>
      <rPr>
        <sz val="9"/>
        <color theme="1"/>
        <rFont val="Calibri"/>
        <family val="2"/>
        <scheme val="minor"/>
      </rPr>
      <t>O traduites en équivalent CO</t>
    </r>
    <r>
      <rPr>
        <vertAlign val="subscript"/>
        <sz val="9"/>
        <color theme="1"/>
        <rFont val="Calibri"/>
        <family val="2"/>
        <scheme val="minor"/>
      </rPr>
      <t>2</t>
    </r>
  </si>
  <si>
    <r>
      <t xml:space="preserve">Version 1.0 - Projet </t>
    </r>
    <r>
      <rPr>
        <b/>
        <sz val="9"/>
        <color theme="1"/>
        <rFont val="Calibri"/>
        <family val="2"/>
        <scheme val="minor"/>
      </rPr>
      <t>ABILE2</t>
    </r>
    <r>
      <rPr>
        <sz val="9"/>
        <color theme="1"/>
        <rFont val="Calibri"/>
        <family val="2"/>
        <scheme val="minor"/>
      </rPr>
      <t xml:space="preserve"> (</t>
    </r>
    <r>
      <rPr>
        <b/>
        <sz val="9"/>
        <color theme="1"/>
        <rFont val="Calibri"/>
        <family val="2"/>
        <scheme val="minor"/>
      </rPr>
      <t>A</t>
    </r>
    <r>
      <rPr>
        <sz val="9"/>
        <color theme="1"/>
        <rFont val="Calibri"/>
        <family val="2"/>
        <scheme val="minor"/>
      </rPr>
      <t>méliorer le</t>
    </r>
    <r>
      <rPr>
        <b/>
        <sz val="9"/>
        <color theme="1"/>
        <rFont val="Calibri"/>
        <family val="2"/>
        <scheme val="minor"/>
      </rPr>
      <t xml:space="preserve"> Bil</t>
    </r>
    <r>
      <rPr>
        <sz val="9"/>
        <color theme="1"/>
        <rFont val="Calibri"/>
        <family val="2"/>
        <scheme val="minor"/>
      </rPr>
      <t xml:space="preserve">an </t>
    </r>
    <r>
      <rPr>
        <b/>
        <sz val="9"/>
        <color theme="1"/>
        <rFont val="Calibri"/>
        <family val="2"/>
        <scheme val="minor"/>
      </rPr>
      <t>E</t>
    </r>
    <r>
      <rPr>
        <sz val="9"/>
        <color theme="1"/>
        <rFont val="Calibri"/>
        <family val="2"/>
        <scheme val="minor"/>
      </rPr>
      <t xml:space="preserve">nvironnemental d'une </t>
    </r>
    <r>
      <rPr>
        <b/>
        <sz val="9"/>
        <color theme="1"/>
        <rFont val="Calibri"/>
        <family val="2"/>
        <scheme val="minor"/>
      </rPr>
      <t>E</t>
    </r>
    <r>
      <rPr>
        <sz val="9"/>
        <color theme="1"/>
        <rFont val="Calibri"/>
        <family val="2"/>
        <scheme val="minor"/>
      </rPr>
      <t>xploitation par la méthanisation des déjections animales - Impact des pratiques d'élevage)</t>
    </r>
  </si>
  <si>
    <t>Paramètres techniques à retenir</t>
  </si>
  <si>
    <t>Fuites biogaz lors de la méthanisation</t>
  </si>
  <si>
    <t>Taux de couverture métha. psychrophile</t>
  </si>
  <si>
    <t>Taux de combustion du biogaz collectable</t>
  </si>
  <si>
    <t>Calcul environnemental</t>
  </si>
  <si>
    <t>En fin de batiment</t>
  </si>
  <si>
    <t>Combustion du biométhane</t>
  </si>
  <si>
    <t>Epandage digestat effluents kg/place/an</t>
  </si>
  <si>
    <t>R1</t>
  </si>
  <si>
    <t>R2</t>
  </si>
  <si>
    <t>R3</t>
  </si>
  <si>
    <t>Quantités excrétées kg/place/an</t>
  </si>
  <si>
    <t>Emissions de GES dans le batiment en kg/place/an</t>
  </si>
  <si>
    <t>Entrée kg/place/an</t>
  </si>
  <si>
    <t>Emissions de GES  /place/an</t>
  </si>
  <si>
    <t>Emissions de GES effluents m3/place/an</t>
  </si>
  <si>
    <t>Emissions kg/place/an</t>
  </si>
  <si>
    <t>Equivalent CO2 (en kg/place/an)</t>
  </si>
  <si>
    <t>Production brute en m3/place/an</t>
  </si>
  <si>
    <t>Dues au traitement/processus de méthanisation effluents</t>
  </si>
  <si>
    <t>effluents</t>
  </si>
  <si>
    <t>Issu</t>
  </si>
  <si>
    <t>soit Eq.</t>
  </si>
  <si>
    <t>MO kg/place/an</t>
  </si>
  <si>
    <t>N kg/place/an</t>
  </si>
  <si>
    <t>BMP L/kg de MV</t>
  </si>
  <si>
    <t>dont TAN</t>
  </si>
  <si>
    <t>N2O</t>
  </si>
  <si>
    <t xml:space="preserve">CH4 </t>
  </si>
  <si>
    <t xml:space="preserve">CO2 </t>
  </si>
  <si>
    <t>TAN stockée</t>
  </si>
  <si>
    <t>MO</t>
  </si>
  <si>
    <t>N résiduel</t>
  </si>
  <si>
    <t>CO2</t>
  </si>
  <si>
    <t>Biogaz</t>
  </si>
  <si>
    <t>N2O kg/place</t>
  </si>
  <si>
    <t>CH4 kg/place</t>
  </si>
  <si>
    <t>NH3 kg/place</t>
  </si>
  <si>
    <t>BMP m3 de CH4/t de MO</t>
  </si>
  <si>
    <t>MO kg/Pl/an</t>
  </si>
  <si>
    <t>N stocké total</t>
  </si>
  <si>
    <t>N2O (dir.)</t>
  </si>
  <si>
    <t>N2O (indirect.)</t>
  </si>
  <si>
    <t>eqCO2</t>
  </si>
  <si>
    <t>PC 1</t>
  </si>
  <si>
    <t>Porc Charcutier</t>
  </si>
  <si>
    <t>Fosse sous CI</t>
  </si>
  <si>
    <t>Fosse extérieure</t>
  </si>
  <si>
    <t>Pas de valorisation</t>
  </si>
  <si>
    <t>PC 2</t>
  </si>
  <si>
    <t>M psychrophile</t>
  </si>
  <si>
    <t>PC 21</t>
  </si>
  <si>
    <t>M mésophile</t>
  </si>
  <si>
    <t>Cogé</t>
  </si>
  <si>
    <t>PC 4</t>
  </si>
  <si>
    <t>PC 3</t>
  </si>
  <si>
    <t>Tr 1</t>
  </si>
  <si>
    <t>Tr 2</t>
  </si>
  <si>
    <t>Tr 21</t>
  </si>
  <si>
    <t>Tr 3</t>
  </si>
  <si>
    <t>Tr 4</t>
  </si>
  <si>
    <t>PS 1</t>
  </si>
  <si>
    <t>PS 2</t>
  </si>
  <si>
    <t>PS 21</t>
  </si>
  <si>
    <t>PS 3</t>
  </si>
  <si>
    <t>PS 4</t>
  </si>
  <si>
    <t>Stockage/ Traitement</t>
  </si>
  <si>
    <t>Valorisation du biométhane</t>
  </si>
  <si>
    <t>Emissions kg/place/an batiment (et stockage pour N2O et CH4 pour les effluents bruts)</t>
  </si>
  <si>
    <t>Bilan entrée (scénario méthanisation) ou fin de stockage (autres scénarios)</t>
  </si>
  <si>
    <t>Emissions au stockage kg/animal/an</t>
  </si>
  <si>
    <t xml:space="preserve">Bilan "Entrée effluents" </t>
  </si>
  <si>
    <t>Emissions due au processus de méthanisation kg/animal/an</t>
  </si>
  <si>
    <t>Due au transport des effluents kg</t>
  </si>
  <si>
    <t>Production brute gaz lors de la méthanisation</t>
  </si>
  <si>
    <t>Emissions lors de la valorisation du biométhane en kg/animal/an</t>
  </si>
  <si>
    <t>Bilan de matière sortie de traitement</t>
  </si>
  <si>
    <t>Emissions au stockage en kg/animal/an</t>
  </si>
  <si>
    <t>Emissions épandage du digestat kg/animal/an</t>
  </si>
  <si>
    <t>Equivalent CO2 (en kg/emplacement/an)</t>
  </si>
  <si>
    <t>(uniquement effluents bruts)</t>
  </si>
  <si>
    <t>issu</t>
  </si>
  <si>
    <t>Soit Eq.</t>
  </si>
  <si>
    <t>N</t>
  </si>
  <si>
    <t>BMP m3/kg de SV</t>
  </si>
  <si>
    <t>TAN</t>
  </si>
  <si>
    <t>BMP m3 de CH4/kg de SV</t>
  </si>
  <si>
    <t>N stocké</t>
  </si>
  <si>
    <t>eq CO2</t>
  </si>
  <si>
    <t>biométhane m3/animal/an</t>
  </si>
  <si>
    <t>CO2 m3/animal/an</t>
  </si>
  <si>
    <t>Biogaz m3/animal/an</t>
  </si>
  <si>
    <t>MO kg/animal/an</t>
  </si>
  <si>
    <t>N2O dir</t>
  </si>
  <si>
    <t>N2O ind</t>
  </si>
  <si>
    <t>CR 1 - Pas de couverture - Pas de racleur - Pas de métha</t>
  </si>
  <si>
    <t xml:space="preserve">Production canards à rôtir </t>
  </si>
  <si>
    <t>Fosse sous caillebotis</t>
  </si>
  <si>
    <t xml:space="preserve"> Fosse extérieure non couverte</t>
  </si>
  <si>
    <t>CR 2 - Racleur + métha psychro + chaudière</t>
  </si>
  <si>
    <t>Fosse ext couverte</t>
  </si>
  <si>
    <t>Métha psy + chaudière</t>
  </si>
  <si>
    <t>CG 1 - Pas de racleur Pas de couverture-Pas de Métha</t>
  </si>
  <si>
    <t>Production canards gras au gavage</t>
  </si>
  <si>
    <t>CG 2 - racleur + métha psy + chaudière</t>
  </si>
  <si>
    <t>VC1- sol B- Lit NonOptimisé- Pas de traitement</t>
  </si>
  <si>
    <t>Poulet de chair standard sur litière</t>
  </si>
  <si>
    <t>Litière non optimisée</t>
  </si>
  <si>
    <t>VC2- sol B- Lit NonOptimisé- Compostage</t>
  </si>
  <si>
    <t>VC3- sol B-Non optimisé-Métha collective-Biométhane</t>
  </si>
  <si>
    <t>M collective</t>
  </si>
  <si>
    <t>CPAG 1</t>
  </si>
  <si>
    <t>Canard gras prêt à gaver</t>
  </si>
  <si>
    <t>CPAG 2</t>
  </si>
  <si>
    <t>CPAG 3</t>
  </si>
  <si>
    <t>Effectifs à l'échelle nationale</t>
  </si>
  <si>
    <t>Nombre de porcs charcutiers</t>
  </si>
  <si>
    <t>truies</t>
  </si>
  <si>
    <t>Nombre de porcs charcutiers produits</t>
  </si>
  <si>
    <t>Canards gras</t>
  </si>
  <si>
    <t>Nombre de canard à rôtir</t>
  </si>
  <si>
    <t>Source</t>
  </si>
  <si>
    <t xml:space="preserve">Nombre animaux </t>
  </si>
  <si>
    <t>Agreste 2020</t>
  </si>
  <si>
    <t>Durée lot (j)</t>
  </si>
  <si>
    <t>Par défaut PTCP données 2019</t>
  </si>
  <si>
    <t>Nombre de places échelle nationale</t>
  </si>
  <si>
    <t>Production de lisier</t>
  </si>
  <si>
    <r>
      <t>Surface (m</t>
    </r>
    <r>
      <rPr>
        <vertAlign val="superscript"/>
        <sz val="11"/>
        <color rgb="FF000000"/>
        <rFont val="Calibri"/>
        <family val="2"/>
        <scheme val="minor"/>
      </rPr>
      <t>2</t>
    </r>
    <r>
      <rPr>
        <sz val="11"/>
        <color rgb="FF000000"/>
        <rFont val="Calibri"/>
        <family val="2"/>
        <scheme val="minor"/>
      </rPr>
      <t>)/emplacement</t>
    </r>
  </si>
  <si>
    <t>Par défaut OBAVIC/COURBATEL / Typo opé</t>
  </si>
  <si>
    <t>Nombre de place de PC</t>
  </si>
  <si>
    <t>Production de lisier m3/truie</t>
  </si>
  <si>
    <r>
      <t>Densité d'animal/m</t>
    </r>
    <r>
      <rPr>
        <vertAlign val="superscript"/>
        <sz val="11"/>
        <color rgb="FF000000"/>
        <rFont val="Calibri"/>
        <family val="2"/>
        <scheme val="minor"/>
      </rPr>
      <t>2</t>
    </r>
    <r>
      <rPr>
        <sz val="11"/>
        <color rgb="FF000000"/>
        <rFont val="Calibri"/>
        <family val="2"/>
        <scheme val="minor"/>
      </rPr>
      <t>/ lot</t>
    </r>
  </si>
  <si>
    <t>Nombre de place de PS</t>
  </si>
  <si>
    <r>
      <t>ρ</t>
    </r>
    <r>
      <rPr>
        <sz val="5.5"/>
        <color theme="1"/>
        <rFont val="Calibri"/>
        <family val="2"/>
      </rPr>
      <t>lisier t/m3</t>
    </r>
  </si>
  <si>
    <t xml:space="preserve">Nombre de porcelets sevrés/truie/an </t>
  </si>
  <si>
    <t>Nombre d'animaux produits</t>
  </si>
  <si>
    <t>Nombre de PC/truie/an</t>
  </si>
  <si>
    <t>Equivalent emplacement</t>
  </si>
  <si>
    <t>Nombre de PS/truie/an</t>
  </si>
  <si>
    <t>Nombre de place de PC /truie</t>
  </si>
  <si>
    <t>Nombre de place de PS/truie</t>
  </si>
  <si>
    <t>Données interfilière sur l'énergie</t>
  </si>
  <si>
    <t>Masse volumique de l'effluent liquide kg/m3</t>
  </si>
  <si>
    <t>Energie d'1 Nm3 de méthane</t>
  </si>
  <si>
    <t>Heures de fonctionnement du cogénérateur</t>
  </si>
  <si>
    <t>Besoin en énergie kWh/truie/an</t>
  </si>
  <si>
    <t>Part de la chaleur dans l'énergie</t>
  </si>
  <si>
    <t>Besoin en chaleur kWh/truie/an</t>
  </si>
  <si>
    <t>Pertes en chaleur de la chaudière</t>
  </si>
  <si>
    <t>Rendement électrique de la cogénération</t>
  </si>
  <si>
    <t>Rendement thermique d'une chaudière</t>
  </si>
  <si>
    <t>Rendement de l'injection</t>
  </si>
  <si>
    <t>Heures de fonctionnement d'une chaudière /an ou injection</t>
  </si>
  <si>
    <t>% d'expression du potentiel méthanogène en psychrophile</t>
  </si>
  <si>
    <t>% d'expression du potentiel méthanogène en mésophile</t>
  </si>
  <si>
    <t>Part des besoins en chaleur couvert</t>
  </si>
  <si>
    <t>% d'expression en psychrophile volaille</t>
  </si>
  <si>
    <t>% d'expression en mésophile volaille</t>
  </si>
  <si>
    <t>Traitement BA</t>
  </si>
  <si>
    <t>Valorisation - Méthanisation mésophile individuelle</t>
  </si>
  <si>
    <t>Valorisation - Méthanisation psychrophile individuelle</t>
  </si>
  <si>
    <t>Valorisation - Méthanisation collective</t>
  </si>
  <si>
    <t>Stabulation logettes - LISIER/LISIER PAILLEUX</t>
  </si>
  <si>
    <t>LISIER - caillebotis / stockage sous les animaux</t>
  </si>
  <si>
    <t>Pas de valorisation - filière classique stockage en fosse sous les animaux et épandage</t>
  </si>
  <si>
    <t>LISIER - logettes couloirs raclés / stockage fosse extérieure - Fréquence de raclage "standard" 6 à 8 fois/jour</t>
  </si>
  <si>
    <t>Pas de valorisation - filière classique stockage en fosse non couverte et épandage</t>
  </si>
  <si>
    <t>LISIER - logettes couloirs raclés / stockage fosse extérieure - Fréquence de raclage "optimale" 12 à 16 fois/jour</t>
  </si>
  <si>
    <t>Stabulation logettes - FUMIER MOU</t>
  </si>
  <si>
    <t>Pas de valorisation - filière classique stockage en fumière non couverte et épandage</t>
  </si>
  <si>
    <t>Aire paillée (+couloir raclé) - FUMIER COMPACT</t>
  </si>
  <si>
    <t>FUMIER - litière accumulée/malaxée - Fréquence de curage FTC "standard" avec stockage en fumière ou au champ</t>
  </si>
  <si>
    <t>Pas de valorisation - filière classique stockage au champ avant épandage</t>
  </si>
  <si>
    <t>FUMIER - litière accumulée/malaxée - Gestion avec prélèvements de FTC selon les besoins</t>
  </si>
  <si>
    <t>Pas de valorisation - filière classique stockage en fumière ou au champ avant épandage</t>
  </si>
  <si>
    <t>Case collective sur caillebotis - LISIER</t>
  </si>
  <si>
    <t>Gestion des effluents en batiment</t>
  </si>
  <si>
    <t>Valorisation des effluents</t>
  </si>
  <si>
    <t>Valorisation du biogaz</t>
  </si>
  <si>
    <t>Modalités d'épandage</t>
  </si>
  <si>
    <t>Résultats finaux</t>
  </si>
  <si>
    <t>Pour le mode d'épandage: buse palette, pendillard, enfouisseur</t>
  </si>
  <si>
    <t>Evacuation</t>
  </si>
  <si>
    <t xml:space="preserve">Torchère </t>
  </si>
  <si>
    <t xml:space="preserve">Pas de différences de coeff d'attribution selon le scénario </t>
  </si>
  <si>
    <t xml:space="preserve">Emissions à l'épandage </t>
  </si>
  <si>
    <t>Mode de logement</t>
  </si>
  <si>
    <t>hormis situation actuelle mais métha négligeable</t>
  </si>
  <si>
    <t>non validé</t>
  </si>
  <si>
    <t>…</t>
  </si>
  <si>
    <t>Traitement de litière</t>
  </si>
  <si>
    <t>Changement uniquement via les décennies</t>
  </si>
  <si>
    <t>mais émission indirectes de N2O négligeables</t>
  </si>
  <si>
    <t>Emissions entérique</t>
  </si>
  <si>
    <t>Excrétion au batiment (kg/animal/an)</t>
  </si>
  <si>
    <t>Emissions au batiment/stockage (kg/animal/an)</t>
  </si>
  <si>
    <t>Bilan sortie de bâtiment et/ou entrée de méthanisation (kg/animal/an)</t>
  </si>
  <si>
    <t>Emissions dues au processus à la méthanisation kg/animal/an</t>
  </si>
  <si>
    <t>Production brute de Biogaz m3/animal/an</t>
  </si>
  <si>
    <t>Emissions lors de la combustion du biométhane en kg/animal/an</t>
  </si>
  <si>
    <t>Bilan sortie méthanisation</t>
  </si>
  <si>
    <t>Emissions au stockage du digestat en kg/animal/an</t>
  </si>
  <si>
    <t>Emissions à l'épandage en kg/animal/an</t>
  </si>
  <si>
    <t>Equivalent CO2 (en kg/animal/an)</t>
  </si>
  <si>
    <t>Les fuites seront à retrancher ensuite</t>
  </si>
  <si>
    <t>CH4 en kg/animal/an</t>
  </si>
  <si>
    <t>kg N/an</t>
  </si>
  <si>
    <t>BMP m3 de CH4/kg de MO</t>
  </si>
  <si>
    <t>CH4 kg/animal/an</t>
  </si>
  <si>
    <t>Selon NQ</t>
  </si>
  <si>
    <t>Selon PL</t>
  </si>
  <si>
    <t>N kg/animal/an</t>
  </si>
  <si>
    <t>TAN kg/animal/an</t>
  </si>
  <si>
    <t>VL 1</t>
  </si>
  <si>
    <t>VL 2</t>
  </si>
  <si>
    <t>VL 3</t>
  </si>
  <si>
    <t>VL 4</t>
  </si>
  <si>
    <t>FUMIER - logettes couloirs raclés / stockage fumière - Fréquence de raclage de 2 à 4 fois/jour</t>
  </si>
  <si>
    <t>VL 5</t>
  </si>
  <si>
    <t>VL 6</t>
  </si>
  <si>
    <t>VL 7</t>
  </si>
  <si>
    <t>VL 8</t>
  </si>
  <si>
    <t>VA 1</t>
  </si>
  <si>
    <t xml:space="preserve">VA 2 </t>
  </si>
  <si>
    <t>VB 1</t>
  </si>
  <si>
    <t>VB 2</t>
  </si>
  <si>
    <t>VB 3</t>
  </si>
  <si>
    <t>G 1</t>
  </si>
  <si>
    <t>G 2</t>
  </si>
  <si>
    <t>G 3</t>
  </si>
  <si>
    <t xml:space="preserve">G 4 </t>
  </si>
  <si>
    <t>G 5</t>
  </si>
  <si>
    <t xml:space="preserve">G 6 </t>
  </si>
  <si>
    <t xml:space="preserve">G 7 </t>
  </si>
  <si>
    <t>G 8</t>
  </si>
  <si>
    <t>Ta 1</t>
  </si>
  <si>
    <t>Ta 2</t>
  </si>
  <si>
    <t>Etude menée avec le soutien financier du Casdar. La responsabilité du ministère chargé de l'agriculture ne saurait être engagée.</t>
  </si>
  <si>
    <t>En bâtiment                                                              (menus déroulants hors situations uniques)</t>
  </si>
  <si>
    <t>Stockage du digestat et du lisier brut</t>
  </si>
  <si>
    <t>Bilan matière entrée stockage effluents kg/place/an</t>
  </si>
  <si>
    <t>Listes déroulantes porc :</t>
  </si>
  <si>
    <t>KWe collecté et vendu</t>
  </si>
  <si>
    <t>Matière excrétée en kg/animal/an dans le bâtiment</t>
  </si>
  <si>
    <t>Logette raclage &gt; 12 fois/j</t>
  </si>
  <si>
    <t>Transport</t>
  </si>
  <si>
    <t>kg/anl/an</t>
  </si>
  <si>
    <t>ZONE A MASQUER</t>
  </si>
  <si>
    <r>
      <rPr>
        <sz val="12"/>
        <color theme="1"/>
        <rFont val="Calibri"/>
        <family val="2"/>
        <scheme val="minor"/>
      </rPr>
      <t>Gestion des déjections</t>
    </r>
    <r>
      <rPr>
        <b/>
        <sz val="12"/>
        <color theme="1"/>
        <rFont val="Calibri"/>
        <family val="2"/>
        <scheme val="minor"/>
      </rPr>
      <t xml:space="preserve"> CONDUITES STANDARD</t>
    </r>
  </si>
  <si>
    <r>
      <rPr>
        <sz val="12"/>
        <color theme="1"/>
        <rFont val="Calibri"/>
        <family val="2"/>
        <scheme val="minor"/>
      </rPr>
      <t>Gestion des déjections</t>
    </r>
    <r>
      <rPr>
        <b/>
        <sz val="12"/>
        <color theme="1"/>
        <rFont val="Calibri"/>
        <family val="2"/>
        <scheme val="minor"/>
      </rPr>
      <t xml:space="preserve"> CONDUITES ALTERNATIVES</t>
    </r>
  </si>
  <si>
    <t>Compostage fumiers volailles</t>
  </si>
  <si>
    <t>Autres coûts</t>
  </si>
  <si>
    <t>Taux d'expression BMP métha. psychrophile</t>
  </si>
  <si>
    <t>Taux d'expression BMP métha. mésophile</t>
  </si>
  <si>
    <t>Total raclage</t>
  </si>
  <si>
    <t>Rendement cogénérateur</t>
  </si>
  <si>
    <t>V 1.0</t>
  </si>
  <si>
    <t>par une adaptation des pratiques de gestion des déjections animales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</si>
</sst>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0.000"/>
    <numFmt numFmtId="167" formatCode="0.0000"/>
    <numFmt numFmtId="168" formatCode="0.00000"/>
  </numFmts>
  <fonts count="51" x14ac:knownFonts="1">
    <font>
      <sz val="11"/>
      <color theme="1"/>
      <name val="Calibri"/>
      <family val="2"/>
      <scheme val="minor"/>
    </font>
    <font>
      <sz val="11"/>
      <color rgb="FFFF0000"/>
      <name val="Calibri"/>
      <family val="2"/>
      <scheme val="minor"/>
    </font>
    <font>
      <sz val="9"/>
      <color indexed="81"/>
      <name val="Tahoma"/>
      <family val="2"/>
    </font>
    <font>
      <b/>
      <sz val="9"/>
      <color indexed="81"/>
      <name val="Tahoma"/>
      <family val="2"/>
    </font>
    <font>
      <b/>
      <sz val="11"/>
      <color theme="1"/>
      <name val="Calibri"/>
      <family val="2"/>
      <scheme val="minor"/>
    </font>
    <font>
      <b/>
      <sz val="16"/>
      <color theme="1"/>
      <name val="Calibri"/>
      <family val="2"/>
      <scheme val="minor"/>
    </font>
    <font>
      <b/>
      <sz val="14"/>
      <color theme="1"/>
      <name val="Calibri"/>
      <family val="2"/>
      <scheme val="minor"/>
    </font>
    <font>
      <sz val="14"/>
      <color theme="1"/>
      <name val="Calibri"/>
      <family val="2"/>
      <scheme val="minor"/>
    </font>
    <font>
      <sz val="20"/>
      <color theme="1"/>
      <name val="Calibri"/>
      <family val="2"/>
      <scheme val="minor"/>
    </font>
    <font>
      <sz val="18"/>
      <color theme="1"/>
      <name val="Calibri"/>
      <family val="2"/>
      <scheme val="minor"/>
    </font>
    <font>
      <b/>
      <sz val="18"/>
      <color theme="1"/>
      <name val="Calibri"/>
      <family val="2"/>
      <scheme val="minor"/>
    </font>
    <font>
      <b/>
      <sz val="20"/>
      <color theme="1"/>
      <name val="Calibri"/>
      <family val="2"/>
      <scheme val="minor"/>
    </font>
    <font>
      <sz val="8"/>
      <name val="Calibri"/>
      <family val="2"/>
      <scheme val="minor"/>
    </font>
    <font>
      <sz val="11"/>
      <color theme="1"/>
      <name val="SimHei"/>
      <family val="3"/>
      <charset val="134"/>
    </font>
    <font>
      <sz val="7.7"/>
      <color theme="1"/>
      <name val="Calibri"/>
      <family val="2"/>
    </font>
    <font>
      <sz val="11"/>
      <color theme="1"/>
      <name val="Calibri"/>
      <family val="2"/>
    </font>
    <font>
      <sz val="8.8000000000000007"/>
      <color theme="1"/>
      <name val="Calibri"/>
      <family val="2"/>
    </font>
    <font>
      <sz val="28"/>
      <color theme="1"/>
      <name val="Calibri"/>
      <family val="2"/>
      <scheme val="minor"/>
    </font>
    <font>
      <b/>
      <sz val="12"/>
      <color theme="1"/>
      <name val="Calibri"/>
      <family val="2"/>
      <scheme val="minor"/>
    </font>
    <font>
      <sz val="24"/>
      <color theme="1"/>
      <name val="Calibri"/>
      <family val="2"/>
      <scheme val="minor"/>
    </font>
    <font>
      <sz val="11"/>
      <color theme="5"/>
      <name val="Calibri"/>
      <family val="2"/>
      <scheme val="minor"/>
    </font>
    <font>
      <sz val="22"/>
      <color theme="1"/>
      <name val="Calibri"/>
      <family val="2"/>
      <scheme val="minor"/>
    </font>
    <font>
      <sz val="24"/>
      <name val="Calibri"/>
      <family val="2"/>
      <scheme val="minor"/>
    </font>
    <font>
      <sz val="5.5"/>
      <color theme="1"/>
      <name val="Calibri"/>
      <family val="2"/>
    </font>
    <font>
      <b/>
      <sz val="11"/>
      <color theme="0"/>
      <name val="Calibri"/>
      <family val="2"/>
      <scheme val="minor"/>
    </font>
    <font>
      <vertAlign val="subscript"/>
      <sz val="11"/>
      <color theme="1"/>
      <name val="Calibri"/>
      <family val="2"/>
      <scheme val="minor"/>
    </font>
    <font>
      <b/>
      <sz val="14"/>
      <color rgb="FFFF0000"/>
      <name val="Calibri"/>
      <family val="2"/>
      <scheme val="minor"/>
    </font>
    <font>
      <b/>
      <vertAlign val="subscript"/>
      <sz val="11"/>
      <color theme="1"/>
      <name val="Calibri"/>
      <family val="2"/>
      <scheme val="minor"/>
    </font>
    <font>
      <i/>
      <sz val="11"/>
      <color theme="1"/>
      <name val="Calibri"/>
      <family val="2"/>
      <scheme val="minor"/>
    </font>
    <font>
      <sz val="11"/>
      <color theme="2" tint="-0.499984740745262"/>
      <name val="Calibri"/>
      <family val="2"/>
      <scheme val="minor"/>
    </font>
    <font>
      <sz val="11"/>
      <color rgb="FF000000"/>
      <name val="Calibri"/>
      <family val="2"/>
      <scheme val="minor"/>
    </font>
    <font>
      <vertAlign val="superscript"/>
      <sz val="11"/>
      <color rgb="FF000000"/>
      <name val="Calibri"/>
      <family val="2"/>
      <scheme val="minor"/>
    </font>
    <font>
      <sz val="16"/>
      <color theme="1"/>
      <name val="Calibri"/>
      <family val="2"/>
      <scheme val="minor"/>
    </font>
    <font>
      <strike/>
      <sz val="11"/>
      <color theme="1"/>
      <name val="Calibri"/>
      <family val="2"/>
      <scheme val="minor"/>
    </font>
    <font>
      <sz val="12"/>
      <color indexed="81"/>
      <name val="Tahoma"/>
      <family val="2"/>
    </font>
    <font>
      <sz val="10"/>
      <color theme="1"/>
      <name val="Calibri"/>
      <family val="2"/>
      <scheme val="minor"/>
    </font>
    <font>
      <b/>
      <sz val="10"/>
      <color theme="1"/>
      <name val="Calibri"/>
      <family val="2"/>
      <scheme val="minor"/>
    </font>
    <font>
      <b/>
      <vertAlign val="subscript"/>
      <sz val="10"/>
      <color theme="1"/>
      <name val="Calibri"/>
      <family val="2"/>
      <scheme val="minor"/>
    </font>
    <font>
      <b/>
      <vertAlign val="subscript"/>
      <sz val="14"/>
      <color theme="1"/>
      <name val="Calibri"/>
      <family val="2"/>
      <scheme val="minor"/>
    </font>
    <font>
      <sz val="9"/>
      <color theme="1"/>
      <name val="Calibri"/>
      <family val="2"/>
      <scheme val="minor"/>
    </font>
    <font>
      <vertAlign val="subscript"/>
      <sz val="9"/>
      <color theme="1"/>
      <name val="Calibri"/>
      <family val="2"/>
      <scheme val="minor"/>
    </font>
    <font>
      <b/>
      <sz val="9"/>
      <color theme="1"/>
      <name val="Calibri"/>
      <family val="2"/>
      <scheme val="minor"/>
    </font>
    <font>
      <b/>
      <vertAlign val="superscript"/>
      <sz val="20"/>
      <color theme="1"/>
      <name val="Calibri"/>
      <family val="2"/>
      <scheme val="minor"/>
    </font>
    <font>
      <sz val="12"/>
      <color theme="1"/>
      <name val="Calibri"/>
      <family val="2"/>
      <scheme val="minor"/>
    </font>
    <font>
      <b/>
      <sz val="10"/>
      <color indexed="81"/>
      <name val="Tahoma"/>
      <family val="2"/>
    </font>
    <font>
      <b/>
      <sz val="9"/>
      <color indexed="81"/>
      <name val="Tahoma"/>
      <charset val="1"/>
    </font>
    <font>
      <sz val="11"/>
      <color theme="0"/>
      <name val="Calibri"/>
      <family val="2"/>
      <scheme val="minor"/>
    </font>
    <font>
      <sz val="10"/>
      <color theme="0"/>
      <name val="Calibri"/>
      <family val="2"/>
      <scheme val="minor"/>
    </font>
    <font>
      <sz val="14"/>
      <color theme="0"/>
      <name val="Calibri"/>
      <family val="2"/>
      <scheme val="minor"/>
    </font>
    <font>
      <b/>
      <sz val="12"/>
      <color theme="0"/>
      <name val="Calibri"/>
      <family val="2"/>
      <scheme val="minor"/>
    </font>
    <font>
      <b/>
      <sz val="10"/>
      <color theme="0"/>
      <name val="Calibri"/>
      <family val="2"/>
      <scheme val="minor"/>
    </font>
  </fonts>
  <fills count="32">
    <fill>
      <patternFill patternType="none"/>
    </fill>
    <fill>
      <patternFill patternType="gray125"/>
    </fill>
    <fill>
      <patternFill patternType="solid">
        <fgColor theme="2" tint="-9.9978637043366805E-2"/>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7" tint="-0.249977111117893"/>
        <bgColor indexed="64"/>
      </patternFill>
    </fill>
    <fill>
      <patternFill patternType="solid">
        <fgColor theme="5" tint="0.59999389629810485"/>
        <bgColor indexed="64"/>
      </patternFill>
    </fill>
    <fill>
      <patternFill patternType="solid">
        <fgColor theme="5"/>
        <bgColor indexed="64"/>
      </patternFill>
    </fill>
    <fill>
      <patternFill patternType="solid">
        <fgColor rgb="FFFF0000"/>
        <bgColor indexed="64"/>
      </patternFill>
    </fill>
    <fill>
      <patternFill patternType="solid">
        <fgColor theme="8" tint="0.59999389629810485"/>
        <bgColor indexed="64"/>
      </patternFill>
    </fill>
    <fill>
      <patternFill patternType="solid">
        <fgColor theme="7"/>
        <bgColor indexed="64"/>
      </patternFill>
    </fill>
    <fill>
      <patternFill patternType="solid">
        <fgColor theme="6" tint="0.39997558519241921"/>
        <bgColor indexed="64"/>
      </patternFill>
    </fill>
    <fill>
      <patternFill patternType="solid">
        <fgColor rgb="FF92D050"/>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00B050"/>
        <bgColor indexed="64"/>
      </patternFill>
    </fill>
    <fill>
      <patternFill patternType="solid">
        <fgColor theme="9" tint="0.59999389629810485"/>
        <bgColor indexed="64"/>
      </patternFill>
    </fill>
    <fill>
      <patternFill patternType="solid">
        <fgColor rgb="FFFFC000"/>
        <bgColor indexed="64"/>
      </patternFill>
    </fill>
    <fill>
      <patternFill patternType="solid">
        <fgColor rgb="FF00B0F0"/>
        <bgColor indexed="64"/>
      </patternFill>
    </fill>
    <fill>
      <patternFill patternType="solid">
        <fgColor theme="3" tint="0.59999389629810485"/>
        <bgColor indexed="64"/>
      </patternFill>
    </fill>
    <fill>
      <patternFill patternType="solid">
        <fgColor rgb="FFFF3300"/>
        <bgColor indexed="64"/>
      </patternFill>
    </fill>
    <fill>
      <patternFill patternType="solid">
        <fgColor theme="9" tint="0.79998168889431442"/>
        <bgColor indexed="64"/>
      </patternFill>
    </fill>
    <fill>
      <patternFill patternType="solid">
        <fgColor rgb="FFC00000"/>
        <bgColor indexed="64"/>
      </patternFill>
    </fill>
    <fill>
      <patternFill patternType="solid">
        <fgColor rgb="FFFFFFFF"/>
        <bgColor rgb="FF000000"/>
      </patternFill>
    </fill>
    <fill>
      <patternFill patternType="solid">
        <fgColor theme="0" tint="-0.34998626667073579"/>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s>
  <cellStyleXfs count="1">
    <xf numFmtId="0" fontId="0" fillId="0" borderId="0"/>
  </cellStyleXfs>
  <cellXfs count="401">
    <xf numFmtId="0" fontId="0" fillId="0" borderId="0" xfId="0"/>
    <xf numFmtId="3" fontId="0" fillId="0" borderId="0" xfId="0" applyNumberFormat="1"/>
    <xf numFmtId="0" fontId="4" fillId="0" borderId="0" xfId="0" applyFont="1"/>
    <xf numFmtId="0" fontId="0" fillId="7" borderId="0" xfId="0" applyFill="1"/>
    <xf numFmtId="0" fontId="0" fillId="18" borderId="0" xfId="0" applyFill="1"/>
    <xf numFmtId="0" fontId="13" fillId="0" borderId="0" xfId="0" applyFont="1"/>
    <xf numFmtId="164" fontId="0" fillId="0" borderId="0" xfId="0" applyNumberFormat="1"/>
    <xf numFmtId="0" fontId="0" fillId="19" borderId="0" xfId="0" applyFill="1"/>
    <xf numFmtId="0" fontId="4" fillId="16" borderId="0" xfId="0" applyFont="1" applyFill="1"/>
    <xf numFmtId="0" fontId="0" fillId="16" borderId="0" xfId="0" applyFill="1"/>
    <xf numFmtId="164" fontId="0" fillId="2" borderId="0" xfId="0" applyNumberFormat="1" applyFill="1"/>
    <xf numFmtId="0" fontId="0" fillId="20" borderId="0" xfId="0" applyFill="1"/>
    <xf numFmtId="0" fontId="0" fillId="21" borderId="0" xfId="0" applyFill="1"/>
    <xf numFmtId="0" fontId="0" fillId="0" borderId="0" xfId="0" applyAlignment="1">
      <alignment horizontal="center"/>
    </xf>
    <xf numFmtId="0" fontId="10" fillId="9" borderId="0" xfId="0" applyFont="1" applyFill="1"/>
    <xf numFmtId="2" fontId="0" fillId="21" borderId="0" xfId="0" applyNumberFormat="1" applyFill="1"/>
    <xf numFmtId="2" fontId="0" fillId="0" borderId="0" xfId="0" applyNumberFormat="1"/>
    <xf numFmtId="2" fontId="0" fillId="20" borderId="0" xfId="0" applyNumberFormat="1" applyFill="1"/>
    <xf numFmtId="0" fontId="15" fillId="0" borderId="0" xfId="0" applyFont="1"/>
    <xf numFmtId="164" fontId="0" fillId="0" borderId="0" xfId="0" applyNumberFormat="1" applyAlignment="1">
      <alignment horizontal="center"/>
    </xf>
    <xf numFmtId="0" fontId="0" fillId="24" borderId="0" xfId="0" applyFill="1"/>
    <xf numFmtId="10" fontId="0" fillId="0" borderId="0" xfId="0" applyNumberFormat="1"/>
    <xf numFmtId="2" fontId="0" fillId="24" borderId="0" xfId="0" applyNumberFormat="1" applyFill="1"/>
    <xf numFmtId="2" fontId="0" fillId="16" borderId="0" xfId="0" applyNumberFormat="1" applyFill="1"/>
    <xf numFmtId="0" fontId="18" fillId="21" borderId="0" xfId="0" applyFont="1" applyFill="1"/>
    <xf numFmtId="3" fontId="0" fillId="0" borderId="1" xfId="0" applyNumberFormat="1" applyBorder="1"/>
    <xf numFmtId="0" fontId="0" fillId="0" borderId="17" xfId="0" applyBorder="1"/>
    <xf numFmtId="0" fontId="0" fillId="0" borderId="0" xfId="0" applyAlignment="1">
      <alignment horizontal="center" vertical="center"/>
    </xf>
    <xf numFmtId="2" fontId="0" fillId="0" borderId="1" xfId="0" applyNumberFormat="1" applyBorder="1" applyAlignment="1">
      <alignment horizontal="center"/>
    </xf>
    <xf numFmtId="0" fontId="0" fillId="0" borderId="17" xfId="0" applyBorder="1" applyAlignment="1">
      <alignment horizontal="center"/>
    </xf>
    <xf numFmtId="2" fontId="0" fillId="6" borderId="0" xfId="0" applyNumberFormat="1" applyFill="1" applyAlignment="1">
      <alignment horizontal="center"/>
    </xf>
    <xf numFmtId="2" fontId="0" fillId="18" borderId="0" xfId="0" applyNumberFormat="1" applyFill="1" applyAlignment="1">
      <alignment horizontal="center"/>
    </xf>
    <xf numFmtId="166" fontId="0" fillId="0" borderId="0" xfId="0" applyNumberFormat="1"/>
    <xf numFmtId="0" fontId="0" fillId="5" borderId="0" xfId="0" applyFill="1" applyAlignment="1">
      <alignment vertical="center"/>
    </xf>
    <xf numFmtId="0" fontId="0" fillId="28" borderId="0" xfId="0" applyFill="1" applyAlignment="1">
      <alignment horizontal="center" vertical="center" wrapText="1"/>
    </xf>
    <xf numFmtId="0" fontId="0" fillId="9" borderId="0" xfId="0" applyFill="1" applyAlignment="1">
      <alignment horizontal="center" vertical="center"/>
    </xf>
    <xf numFmtId="0" fontId="0" fillId="28" borderId="0" xfId="0" applyFill="1" applyAlignment="1">
      <alignment horizontal="center" wrapText="1"/>
    </xf>
    <xf numFmtId="0" fontId="22" fillId="14" borderId="0" xfId="0" applyFont="1" applyFill="1"/>
    <xf numFmtId="166" fontId="0" fillId="20" borderId="0" xfId="0" applyNumberFormat="1" applyFill="1"/>
    <xf numFmtId="166" fontId="0" fillId="0" borderId="0" xfId="0" applyNumberFormat="1" applyAlignment="1">
      <alignment horizontal="center" vertical="center"/>
    </xf>
    <xf numFmtId="10" fontId="0" fillId="0" borderId="1" xfId="0" applyNumberFormat="1" applyBorder="1"/>
    <xf numFmtId="1" fontId="0" fillId="0" borderId="0" xfId="0" applyNumberFormat="1" applyAlignment="1">
      <alignment horizontal="center"/>
    </xf>
    <xf numFmtId="0" fontId="15" fillId="0" borderId="1" xfId="0" applyFont="1" applyBorder="1"/>
    <xf numFmtId="166" fontId="0" fillId="0" borderId="1" xfId="0" applyNumberFormat="1" applyBorder="1"/>
    <xf numFmtId="0" fontId="0" fillId="0" borderId="19" xfId="0" applyBorder="1"/>
    <xf numFmtId="2" fontId="0" fillId="6" borderId="0" xfId="0" applyNumberFormat="1" applyFill="1"/>
    <xf numFmtId="0" fontId="0" fillId="12" borderId="0" xfId="0" applyFill="1"/>
    <xf numFmtId="164" fontId="0" fillId="0" borderId="0" xfId="0" applyNumberFormat="1" applyAlignment="1">
      <alignment horizontal="center" vertical="center"/>
    </xf>
    <xf numFmtId="2" fontId="4" fillId="0" borderId="0" xfId="0" applyNumberFormat="1" applyFont="1"/>
    <xf numFmtId="2" fontId="0" fillId="0" borderId="0" xfId="0" applyNumberFormat="1" applyAlignment="1">
      <alignment horizontal="center" vertical="center"/>
    </xf>
    <xf numFmtId="0" fontId="4" fillId="16" borderId="0" xfId="0" applyFont="1" applyFill="1" applyAlignment="1">
      <alignment vertical="center" wrapText="1"/>
    </xf>
    <xf numFmtId="0" fontId="0" fillId="17" borderId="0" xfId="0" applyFill="1" applyAlignment="1">
      <alignment vertical="center" wrapText="1"/>
    </xf>
    <xf numFmtId="0" fontId="0" fillId="3" borderId="0" xfId="0" applyFill="1" applyAlignment="1">
      <alignment vertical="center"/>
    </xf>
    <xf numFmtId="2" fontId="4" fillId="0" borderId="0" xfId="0" applyNumberFormat="1" applyFont="1" applyAlignment="1">
      <alignment horizontal="center" vertical="center"/>
    </xf>
    <xf numFmtId="10" fontId="0" fillId="24" borderId="0" xfId="0" applyNumberFormat="1" applyFill="1"/>
    <xf numFmtId="0" fontId="0" fillId="17" borderId="21" xfId="0" applyFill="1" applyBorder="1"/>
    <xf numFmtId="0" fontId="0" fillId="17" borderId="24" xfId="0" applyFill="1" applyBorder="1"/>
    <xf numFmtId="0" fontId="0" fillId="0" borderId="0" xfId="0" applyAlignment="1">
      <alignment horizontal="left" vertical="center"/>
    </xf>
    <xf numFmtId="0" fontId="24" fillId="29" borderId="21" xfId="0" applyFont="1" applyFill="1" applyBorder="1" applyAlignment="1">
      <alignment horizontal="center" vertical="center" wrapText="1"/>
    </xf>
    <xf numFmtId="0" fontId="24" fillId="29" borderId="22" xfId="0" applyFont="1" applyFill="1" applyBorder="1" applyAlignment="1">
      <alignment horizontal="center" vertical="center" wrapText="1"/>
    </xf>
    <xf numFmtId="0" fontId="24" fillId="29" borderId="24" xfId="0" applyFont="1" applyFill="1" applyBorder="1" applyAlignment="1">
      <alignment horizontal="center" vertical="center" wrapText="1"/>
    </xf>
    <xf numFmtId="0" fontId="6" fillId="0" borderId="0" xfId="0" applyFont="1" applyAlignment="1">
      <alignment vertical="center"/>
    </xf>
    <xf numFmtId="0" fontId="0" fillId="17" borderId="23" xfId="0" applyFill="1" applyBorder="1" applyAlignment="1">
      <alignment horizontal="center" vertical="center" wrapText="1"/>
    </xf>
    <xf numFmtId="0" fontId="0" fillId="17" borderId="21" xfId="0" applyFill="1" applyBorder="1" applyAlignment="1">
      <alignment horizontal="center" vertical="center" wrapText="1"/>
    </xf>
    <xf numFmtId="0" fontId="0" fillId="17" borderId="24" xfId="0" applyFill="1" applyBorder="1" applyAlignment="1">
      <alignment horizontal="center" vertical="center" wrapText="1"/>
    </xf>
    <xf numFmtId="0" fontId="0" fillId="14" borderId="0" xfId="0" applyFill="1"/>
    <xf numFmtId="0" fontId="4" fillId="14" borderId="0" xfId="0" applyFont="1" applyFill="1"/>
    <xf numFmtId="0" fontId="0" fillId="14" borderId="0" xfId="0" applyFill="1" applyAlignment="1">
      <alignment horizontal="center" vertical="center"/>
    </xf>
    <xf numFmtId="0" fontId="0" fillId="17" borderId="23" xfId="0" applyFill="1" applyBorder="1" applyAlignment="1">
      <alignment horizontal="center" vertical="center"/>
    </xf>
    <xf numFmtId="0" fontId="0" fillId="17" borderId="23" xfId="0" applyFill="1" applyBorder="1"/>
    <xf numFmtId="0" fontId="0" fillId="0" borderId="19" xfId="0" applyBorder="1" applyAlignment="1">
      <alignment horizontal="center" vertical="center"/>
    </xf>
    <xf numFmtId="10" fontId="0" fillId="0" borderId="1" xfId="0" applyNumberFormat="1" applyBorder="1" applyAlignment="1">
      <alignment horizontal="center" vertical="center"/>
    </xf>
    <xf numFmtId="1" fontId="0" fillId="0" borderId="18" xfId="0" applyNumberFormat="1" applyBorder="1" applyAlignment="1">
      <alignment horizontal="center" vertical="center"/>
    </xf>
    <xf numFmtId="0" fontId="0" fillId="0" borderId="18" xfId="0" applyBorder="1"/>
    <xf numFmtId="0" fontId="26" fillId="0" borderId="0" xfId="0" applyFont="1"/>
    <xf numFmtId="0" fontId="0" fillId="23" borderId="0" xfId="0" applyFill="1"/>
    <xf numFmtId="0" fontId="0" fillId="23" borderId="0" xfId="0" applyFill="1" applyAlignment="1">
      <alignment horizontal="center" vertical="center"/>
    </xf>
    <xf numFmtId="0" fontId="1" fillId="23" borderId="0" xfId="0" applyFont="1" applyFill="1" applyAlignment="1">
      <alignment horizontal="center" vertical="center"/>
    </xf>
    <xf numFmtId="0" fontId="28" fillId="0" borderId="0" xfId="0" applyFont="1"/>
    <xf numFmtId="0" fontId="29" fillId="0" borderId="0" xfId="0" applyFont="1" applyAlignment="1">
      <alignment horizontal="right"/>
    </xf>
    <xf numFmtId="164" fontId="0" fillId="23" borderId="0" xfId="0" applyNumberFormat="1" applyFill="1" applyAlignment="1">
      <alignment horizontal="center" vertical="center"/>
    </xf>
    <xf numFmtId="164" fontId="1" fillId="23" borderId="0" xfId="0" applyNumberFormat="1" applyFont="1" applyFill="1" applyAlignment="1">
      <alignment horizontal="center" vertical="center"/>
    </xf>
    <xf numFmtId="164" fontId="0" fillId="0" borderId="19" xfId="0" applyNumberFormat="1" applyBorder="1" applyAlignment="1">
      <alignment horizontal="center" vertical="center"/>
    </xf>
    <xf numFmtId="164" fontId="0" fillId="0" borderId="1" xfId="0" applyNumberFormat="1" applyBorder="1" applyAlignment="1">
      <alignment horizontal="center" vertical="center"/>
    </xf>
    <xf numFmtId="0" fontId="0" fillId="17" borderId="21" xfId="0" applyFill="1" applyBorder="1" applyAlignment="1">
      <alignment horizontal="center" vertical="center"/>
    </xf>
    <xf numFmtId="0" fontId="0" fillId="17" borderId="24" xfId="0" applyFill="1" applyBorder="1" applyAlignment="1">
      <alignment horizontal="center" vertical="center"/>
    </xf>
    <xf numFmtId="0" fontId="0" fillId="23" borderId="1" xfId="0" applyFill="1" applyBorder="1"/>
    <xf numFmtId="0" fontId="0" fillId="16" borderId="0" xfId="0" applyFill="1" applyAlignment="1">
      <alignment horizontal="center" vertical="center"/>
    </xf>
    <xf numFmtId="0" fontId="0" fillId="19" borderId="0" xfId="0" applyFill="1" applyAlignment="1">
      <alignment vertical="center"/>
    </xf>
    <xf numFmtId="164" fontId="18" fillId="5" borderId="0" xfId="0" applyNumberFormat="1" applyFont="1" applyFill="1"/>
    <xf numFmtId="164" fontId="18" fillId="5" borderId="0" xfId="0" applyNumberFormat="1" applyFont="1" applyFill="1" applyAlignment="1">
      <alignment horizontal="center"/>
    </xf>
    <xf numFmtId="164" fontId="0" fillId="5" borderId="0" xfId="0" applyNumberFormat="1" applyFill="1" applyAlignment="1">
      <alignment horizontal="center"/>
    </xf>
    <xf numFmtId="164" fontId="18" fillId="5" borderId="0" xfId="0" applyNumberFormat="1" applyFont="1" applyFill="1" applyAlignment="1">
      <alignment horizontal="center" vertical="center"/>
    </xf>
    <xf numFmtId="164" fontId="0" fillId="5" borderId="0" xfId="0" applyNumberFormat="1" applyFill="1" applyAlignment="1">
      <alignment horizontal="center" vertical="center"/>
    </xf>
    <xf numFmtId="2" fontId="0" fillId="0" borderId="0" xfId="0" applyNumberFormat="1" applyAlignment="1">
      <alignment vertical="center"/>
    </xf>
    <xf numFmtId="10" fontId="0" fillId="17" borderId="23" xfId="0" applyNumberFormat="1" applyFill="1" applyBorder="1" applyAlignment="1">
      <alignment horizontal="center" vertical="center"/>
    </xf>
    <xf numFmtId="10" fontId="0" fillId="17" borderId="21" xfId="0" applyNumberFormat="1" applyFill="1" applyBorder="1" applyAlignment="1">
      <alignment horizontal="center" vertical="center"/>
    </xf>
    <xf numFmtId="10" fontId="0" fillId="17" borderId="24" xfId="0" applyNumberFormat="1" applyFill="1" applyBorder="1" applyAlignment="1">
      <alignment horizontal="center" vertical="center"/>
    </xf>
    <xf numFmtId="0" fontId="0" fillId="3" borderId="0" xfId="0" applyFill="1"/>
    <xf numFmtId="0" fontId="0" fillId="0" borderId="0" xfId="0" applyAlignment="1">
      <alignment horizontal="left"/>
    </xf>
    <xf numFmtId="0" fontId="4" fillId="0" borderId="0" xfId="0" applyFont="1" applyAlignment="1">
      <alignment horizontal="left"/>
    </xf>
    <xf numFmtId="165" fontId="0" fillId="0" borderId="21" xfId="0" applyNumberFormat="1" applyBorder="1" applyAlignment="1">
      <alignment horizontal="center" vertical="center"/>
    </xf>
    <xf numFmtId="165" fontId="0" fillId="0" borderId="23" xfId="0" applyNumberFormat="1" applyBorder="1" applyAlignment="1">
      <alignment horizontal="center" vertical="center"/>
    </xf>
    <xf numFmtId="0" fontId="0" fillId="23" borderId="12" xfId="0" applyFill="1" applyBorder="1" applyAlignment="1">
      <alignment horizontal="center" vertical="center"/>
    </xf>
    <xf numFmtId="166" fontId="4" fillId="0" borderId="0" xfId="0" applyNumberFormat="1" applyFont="1"/>
    <xf numFmtId="10" fontId="0" fillId="0" borderId="0" xfId="0" applyNumberFormat="1" applyAlignment="1">
      <alignment horizontal="center" vertical="center"/>
    </xf>
    <xf numFmtId="166" fontId="0" fillId="6" borderId="0" xfId="0" applyNumberFormat="1" applyFill="1" applyAlignment="1">
      <alignment horizontal="center" vertical="center"/>
    </xf>
    <xf numFmtId="166" fontId="0" fillId="0" borderId="0" xfId="0" applyNumberFormat="1" applyAlignment="1">
      <alignment vertical="center"/>
    </xf>
    <xf numFmtId="2" fontId="4" fillId="24" borderId="0" xfId="0" applyNumberFormat="1" applyFont="1" applyFill="1"/>
    <xf numFmtId="166" fontId="20" fillId="0" borderId="0" xfId="0" applyNumberFormat="1" applyFont="1" applyAlignment="1">
      <alignment horizontal="center"/>
    </xf>
    <xf numFmtId="166" fontId="0" fillId="18" borderId="0" xfId="0" applyNumberFormat="1" applyFill="1" applyAlignment="1">
      <alignment horizontal="center" vertical="center"/>
    </xf>
    <xf numFmtId="0" fontId="30" fillId="0" borderId="1" xfId="0" applyFont="1" applyBorder="1" applyAlignment="1">
      <alignment horizontal="center"/>
    </xf>
    <xf numFmtId="0" fontId="30" fillId="30" borderId="1" xfId="0" applyFont="1" applyFill="1" applyBorder="1" applyAlignment="1">
      <alignment horizontal="center"/>
    </xf>
    <xf numFmtId="166" fontId="0" fillId="21" borderId="0" xfId="0" applyNumberFormat="1" applyFill="1"/>
    <xf numFmtId="166" fontId="0" fillId="21" borderId="0" xfId="0" applyNumberFormat="1" applyFill="1" applyAlignment="1">
      <alignment horizontal="center" vertical="center"/>
    </xf>
    <xf numFmtId="166" fontId="0" fillId="20" borderId="0" xfId="0" applyNumberFormat="1" applyFill="1" applyAlignment="1">
      <alignment horizontal="left"/>
    </xf>
    <xf numFmtId="0" fontId="0" fillId="0" borderId="1" xfId="0" applyBorder="1"/>
    <xf numFmtId="0" fontId="0" fillId="6" borderId="0" xfId="0" applyFill="1"/>
    <xf numFmtId="0" fontId="0" fillId="17" borderId="0" xfId="0" applyFill="1"/>
    <xf numFmtId="10" fontId="0" fillId="0" borderId="0" xfId="0" applyNumberFormat="1" applyAlignment="1">
      <alignment horizontal="center"/>
    </xf>
    <xf numFmtId="0" fontId="0" fillId="0" borderId="0" xfId="0" applyAlignment="1">
      <alignment vertical="center"/>
    </xf>
    <xf numFmtId="0" fontId="0" fillId="0" borderId="0" xfId="0" applyAlignment="1">
      <alignment vertical="center" wrapText="1"/>
    </xf>
    <xf numFmtId="164" fontId="0" fillId="5" borderId="0" xfId="0" applyNumberFormat="1" applyFill="1"/>
    <xf numFmtId="10" fontId="0" fillId="21" borderId="0" xfId="0" applyNumberFormat="1" applyFill="1"/>
    <xf numFmtId="10" fontId="4" fillId="0" borderId="0" xfId="0" applyNumberFormat="1" applyFont="1" applyAlignment="1">
      <alignment horizontal="center"/>
    </xf>
    <xf numFmtId="2" fontId="30" fillId="0" borderId="1" xfId="0" applyNumberFormat="1" applyFont="1" applyBorder="1" applyAlignment="1">
      <alignment horizontal="center"/>
    </xf>
    <xf numFmtId="2" fontId="0" fillId="16" borderId="0" xfId="0" applyNumberFormat="1" applyFill="1" applyAlignment="1">
      <alignment horizontal="center" vertical="center"/>
    </xf>
    <xf numFmtId="2" fontId="4" fillId="16" borderId="0" xfId="0" applyNumberFormat="1" applyFont="1" applyFill="1" applyAlignment="1">
      <alignment horizontal="center" vertical="center"/>
    </xf>
    <xf numFmtId="2" fontId="4" fillId="16" borderId="0" xfId="0" applyNumberFormat="1" applyFont="1" applyFill="1"/>
    <xf numFmtId="166" fontId="4" fillId="16" borderId="0" xfId="0" applyNumberFormat="1" applyFont="1" applyFill="1"/>
    <xf numFmtId="166" fontId="0" fillId="16" borderId="0" xfId="0" applyNumberFormat="1" applyFill="1" applyAlignment="1">
      <alignment horizontal="center" vertical="center"/>
    </xf>
    <xf numFmtId="166" fontId="0" fillId="16" borderId="0" xfId="0" applyNumberFormat="1" applyFill="1"/>
    <xf numFmtId="166" fontId="0" fillId="12" borderId="0" xfId="0" applyNumberFormat="1" applyFill="1"/>
    <xf numFmtId="164" fontId="0" fillId="16" borderId="0" xfId="0" applyNumberFormat="1" applyFill="1"/>
    <xf numFmtId="164" fontId="0" fillId="16" borderId="0" xfId="0" applyNumberFormat="1" applyFill="1" applyAlignment="1">
      <alignment horizontal="center"/>
    </xf>
    <xf numFmtId="164" fontId="0" fillId="16" borderId="0" xfId="0" applyNumberFormat="1" applyFill="1" applyAlignment="1">
      <alignment horizontal="center" vertical="center"/>
    </xf>
    <xf numFmtId="2" fontId="0" fillId="0" borderId="0" xfId="0" applyNumberFormat="1" applyAlignment="1">
      <alignment vertical="center" wrapText="1"/>
    </xf>
    <xf numFmtId="167" fontId="0" fillId="0" borderId="0" xfId="0" applyNumberFormat="1" applyAlignment="1">
      <alignment horizontal="center" vertical="center"/>
    </xf>
    <xf numFmtId="167" fontId="0" fillId="21" borderId="0" xfId="0" applyNumberFormat="1" applyFill="1" applyAlignment="1">
      <alignment horizontal="center" vertical="center"/>
    </xf>
    <xf numFmtId="167" fontId="0" fillId="16" borderId="0" xfId="0" applyNumberFormat="1" applyFill="1" applyAlignment="1">
      <alignment horizontal="center" vertical="center"/>
    </xf>
    <xf numFmtId="167" fontId="32" fillId="25" borderId="0" xfId="0" applyNumberFormat="1" applyFont="1" applyFill="1" applyAlignment="1">
      <alignment horizontal="center"/>
    </xf>
    <xf numFmtId="0" fontId="30" fillId="0" borderId="17" xfId="0" applyFont="1" applyBorder="1" applyAlignment="1">
      <alignment horizontal="center"/>
    </xf>
    <xf numFmtId="0" fontId="30" fillId="0" borderId="0" xfId="0" applyFont="1" applyAlignment="1">
      <alignment horizontal="center"/>
    </xf>
    <xf numFmtId="0" fontId="30" fillId="16" borderId="1" xfId="0" applyFont="1" applyFill="1" applyBorder="1" applyAlignment="1">
      <alignment horizontal="center"/>
    </xf>
    <xf numFmtId="2" fontId="30" fillId="16" borderId="1" xfId="0" applyNumberFormat="1" applyFont="1" applyFill="1" applyBorder="1" applyAlignment="1">
      <alignment horizontal="center"/>
    </xf>
    <xf numFmtId="0" fontId="0" fillId="0" borderId="1" xfId="0" applyBorder="1" applyAlignment="1">
      <alignment horizontal="center"/>
    </xf>
    <xf numFmtId="0" fontId="30" fillId="6" borderId="0" xfId="0" applyFont="1" applyFill="1" applyAlignment="1">
      <alignment horizontal="center"/>
    </xf>
    <xf numFmtId="1" fontId="0" fillId="0" borderId="0" xfId="0" applyNumberFormat="1"/>
    <xf numFmtId="0" fontId="9" fillId="10" borderId="0" xfId="0" applyFont="1" applyFill="1" applyAlignment="1">
      <alignment horizontal="center"/>
    </xf>
    <xf numFmtId="0" fontId="9" fillId="3" borderId="0" xfId="0" applyFont="1" applyFill="1" applyAlignment="1">
      <alignment horizontal="center"/>
    </xf>
    <xf numFmtId="0" fontId="9" fillId="15" borderId="0" xfId="0" applyFont="1" applyFill="1" applyAlignment="1">
      <alignment horizontal="center"/>
    </xf>
    <xf numFmtId="0" fontId="9" fillId="7" borderId="0" xfId="0" applyFont="1" applyFill="1" applyAlignment="1">
      <alignment horizontal="center"/>
    </xf>
    <xf numFmtId="0" fontId="0" fillId="4" borderId="0" xfId="0" applyFill="1" applyAlignment="1">
      <alignment horizontal="center"/>
    </xf>
    <xf numFmtId="0" fontId="32" fillId="25" borderId="0" xfId="0" applyFont="1" applyFill="1" applyAlignment="1">
      <alignment horizontal="center"/>
    </xf>
    <xf numFmtId="164" fontId="32" fillId="25" borderId="0" xfId="0" applyNumberFormat="1" applyFont="1" applyFill="1" applyAlignment="1">
      <alignment horizontal="center"/>
    </xf>
    <xf numFmtId="0" fontId="0" fillId="6" borderId="0" xfId="0" applyFill="1" applyAlignment="1">
      <alignment horizontal="center"/>
    </xf>
    <xf numFmtId="0" fontId="0" fillId="25" borderId="0" xfId="0" applyFill="1" applyAlignment="1">
      <alignment horizontal="center"/>
    </xf>
    <xf numFmtId="2" fontId="0" fillId="0" borderId="0" xfId="0" applyNumberFormat="1" applyAlignment="1">
      <alignment horizontal="center"/>
    </xf>
    <xf numFmtId="0" fontId="0" fillId="17" borderId="0" xfId="0" applyFill="1" applyAlignment="1">
      <alignment horizontal="center" vertical="center"/>
    </xf>
    <xf numFmtId="0" fontId="0" fillId="9" borderId="0" xfId="0" applyFill="1" applyAlignment="1">
      <alignment horizontal="center" vertical="center" wrapText="1"/>
    </xf>
    <xf numFmtId="0" fontId="4" fillId="0" borderId="0" xfId="0" applyFont="1" applyAlignment="1">
      <alignment horizontal="center"/>
    </xf>
    <xf numFmtId="166" fontId="0" fillId="0" borderId="0" xfId="0" applyNumberFormat="1" applyAlignment="1">
      <alignment horizontal="center"/>
    </xf>
    <xf numFmtId="166" fontId="0" fillId="25" borderId="0" xfId="0" applyNumberFormat="1" applyFill="1" applyAlignment="1">
      <alignment horizontal="center"/>
    </xf>
    <xf numFmtId="164" fontId="0" fillId="25" borderId="0" xfId="0" applyNumberFormat="1" applyFill="1" applyAlignment="1">
      <alignment horizontal="center"/>
    </xf>
    <xf numFmtId="0" fontId="0" fillId="3" borderId="0" xfId="0" applyFill="1" applyAlignment="1">
      <alignment horizontal="center" vertical="center"/>
    </xf>
    <xf numFmtId="0" fontId="0" fillId="0" borderId="1" xfId="0" applyBorder="1" applyAlignment="1">
      <alignment horizontal="center" vertical="center"/>
    </xf>
    <xf numFmtId="0" fontId="0" fillId="21" borderId="0" xfId="0" applyFill="1" applyAlignment="1">
      <alignment vertical="center"/>
    </xf>
    <xf numFmtId="2" fontId="0" fillId="11" borderId="0" xfId="0" applyNumberFormat="1" applyFill="1"/>
    <xf numFmtId="166" fontId="0" fillId="21" borderId="0" xfId="0" applyNumberFormat="1" applyFill="1" applyAlignment="1">
      <alignment vertical="center"/>
    </xf>
    <xf numFmtId="10" fontId="0" fillId="0" borderId="0" xfId="0" applyNumberFormat="1" applyAlignment="1">
      <alignment horizontal="left" vertical="center"/>
    </xf>
    <xf numFmtId="0" fontId="4" fillId="6" borderId="0" xfId="0" applyFont="1" applyFill="1" applyAlignment="1">
      <alignment horizontal="left"/>
    </xf>
    <xf numFmtId="0" fontId="0" fillId="19" borderId="0" xfId="0" applyFill="1" applyAlignment="1">
      <alignment horizontal="center" vertical="center" wrapText="1"/>
    </xf>
    <xf numFmtId="166" fontId="4" fillId="0" borderId="0" xfId="0" applyNumberFormat="1" applyFont="1" applyAlignment="1">
      <alignment horizontal="center" vertical="center"/>
    </xf>
    <xf numFmtId="168" fontId="0" fillId="0" borderId="0" xfId="0" applyNumberFormat="1" applyAlignment="1">
      <alignment horizontal="center" vertical="center"/>
    </xf>
    <xf numFmtId="165" fontId="0" fillId="0" borderId="0" xfId="0" applyNumberFormat="1" applyAlignment="1">
      <alignment horizontal="center"/>
    </xf>
    <xf numFmtId="165" fontId="0" fillId="21" borderId="0" xfId="0" applyNumberFormat="1" applyFill="1" applyAlignment="1">
      <alignment horizontal="center"/>
    </xf>
    <xf numFmtId="166" fontId="0" fillId="31" borderId="0" xfId="0" applyNumberFormat="1" applyFill="1" applyAlignment="1">
      <alignment horizontal="center" vertical="center"/>
    </xf>
    <xf numFmtId="166" fontId="0" fillId="31" borderId="0" xfId="0" applyNumberFormat="1" applyFill="1" applyAlignment="1">
      <alignment horizontal="center"/>
    </xf>
    <xf numFmtId="0" fontId="0" fillId="9" borderId="1" xfId="0" applyFill="1" applyBorder="1" applyAlignment="1">
      <alignment horizontal="center" vertical="center" wrapText="1"/>
    </xf>
    <xf numFmtId="10" fontId="0" fillId="21" borderId="0" xfId="0" applyNumberFormat="1" applyFill="1" applyAlignment="1">
      <alignment horizontal="center"/>
    </xf>
    <xf numFmtId="10" fontId="4" fillId="6" borderId="0" xfId="0" applyNumberFormat="1" applyFont="1" applyFill="1" applyAlignment="1">
      <alignment horizontal="left"/>
    </xf>
    <xf numFmtId="10" fontId="4" fillId="6" borderId="0" xfId="0" applyNumberFormat="1" applyFont="1" applyFill="1" applyAlignment="1">
      <alignment horizontal="center"/>
    </xf>
    <xf numFmtId="166" fontId="0" fillId="25" borderId="0" xfId="0" applyNumberFormat="1" applyFill="1" applyAlignment="1">
      <alignment horizontal="center" vertical="center"/>
    </xf>
    <xf numFmtId="168" fontId="0" fillId="31" borderId="0" xfId="0" applyNumberFormat="1" applyFill="1" applyAlignment="1">
      <alignment horizontal="center"/>
    </xf>
    <xf numFmtId="168" fontId="0" fillId="0" borderId="0" xfId="0" applyNumberFormat="1" applyAlignment="1">
      <alignment horizontal="center"/>
    </xf>
    <xf numFmtId="168" fontId="0" fillId="18" borderId="0" xfId="0" applyNumberFormat="1" applyFill="1" applyAlignment="1">
      <alignment horizontal="center" vertical="center"/>
    </xf>
    <xf numFmtId="168" fontId="1" fillId="0" borderId="0" xfId="0" applyNumberFormat="1" applyFont="1" applyAlignment="1">
      <alignment horizontal="center"/>
    </xf>
    <xf numFmtId="168" fontId="20" fillId="0" borderId="0" xfId="0" applyNumberFormat="1" applyFont="1" applyAlignment="1">
      <alignment horizontal="center"/>
    </xf>
    <xf numFmtId="165" fontId="6" fillId="0" borderId="0" xfId="0" applyNumberFormat="1" applyFont="1" applyAlignment="1">
      <alignment horizontal="center" vertical="center"/>
    </xf>
    <xf numFmtId="165" fontId="6" fillId="12" borderId="0" xfId="0" applyNumberFormat="1" applyFont="1" applyFill="1" applyAlignment="1">
      <alignment horizontal="center" vertical="center"/>
    </xf>
    <xf numFmtId="167" fontId="0" fillId="0" borderId="0" xfId="0" applyNumberFormat="1" applyAlignment="1">
      <alignment horizontal="center"/>
    </xf>
    <xf numFmtId="167" fontId="1" fillId="0" borderId="0" xfId="0" applyNumberFormat="1" applyFont="1" applyAlignment="1">
      <alignment horizontal="center"/>
    </xf>
    <xf numFmtId="167" fontId="1" fillId="31" borderId="0" xfId="0" applyNumberFormat="1" applyFont="1" applyFill="1" applyAlignment="1">
      <alignment horizontal="center"/>
    </xf>
    <xf numFmtId="168" fontId="0" fillId="20" borderId="0" xfId="0" applyNumberFormat="1" applyFill="1" applyAlignment="1">
      <alignment horizontal="center" vertical="center"/>
    </xf>
    <xf numFmtId="166" fontId="0" fillId="20" borderId="0" xfId="0" applyNumberFormat="1" applyFill="1" applyAlignment="1">
      <alignment horizontal="center" vertical="center"/>
    </xf>
    <xf numFmtId="166" fontId="0" fillId="20" borderId="0" xfId="0" applyNumberFormat="1" applyFill="1" applyAlignment="1">
      <alignment vertical="center"/>
    </xf>
    <xf numFmtId="2" fontId="4" fillId="6" borderId="0" xfId="0" applyNumberFormat="1" applyFont="1" applyFill="1" applyAlignment="1">
      <alignment horizontal="center"/>
    </xf>
    <xf numFmtId="2" fontId="4" fillId="0" borderId="0" xfId="0" applyNumberFormat="1" applyFont="1" applyAlignment="1">
      <alignment horizontal="center"/>
    </xf>
    <xf numFmtId="2" fontId="4" fillId="25" borderId="0" xfId="0" applyNumberFormat="1" applyFont="1" applyFill="1" applyAlignment="1">
      <alignment horizontal="center"/>
    </xf>
    <xf numFmtId="1" fontId="4" fillId="0" borderId="0" xfId="0" applyNumberFormat="1" applyFont="1" applyAlignment="1">
      <alignment horizontal="center"/>
    </xf>
    <xf numFmtId="1" fontId="4" fillId="0" borderId="0" xfId="0" applyNumberFormat="1" applyFont="1"/>
    <xf numFmtId="0" fontId="35" fillId="0" borderId="0" xfId="0" applyFont="1"/>
    <xf numFmtId="0" fontId="35" fillId="0" borderId="0" xfId="0" applyFont="1" applyAlignment="1">
      <alignment horizontal="center"/>
    </xf>
    <xf numFmtId="0" fontId="7" fillId="0" borderId="0" xfId="0" applyFont="1"/>
    <xf numFmtId="2" fontId="0" fillId="0" borderId="0" xfId="0" applyNumberFormat="1" applyAlignment="1">
      <alignment horizontal="center"/>
    </xf>
    <xf numFmtId="2" fontId="0" fillId="0" borderId="0" xfId="0" applyNumberFormat="1" applyAlignment="1">
      <alignment horizontal="center"/>
    </xf>
    <xf numFmtId="166" fontId="0" fillId="0" borderId="0" xfId="0" applyNumberFormat="1" applyAlignment="1">
      <alignment horizontal="center"/>
    </xf>
    <xf numFmtId="0" fontId="0" fillId="0" borderId="0" xfId="0" applyFill="1"/>
    <xf numFmtId="1" fontId="0" fillId="0" borderId="0" xfId="0" applyNumberFormat="1" applyFill="1" applyAlignment="1">
      <alignment horizontal="center"/>
    </xf>
    <xf numFmtId="2" fontId="0" fillId="0" borderId="0" xfId="0" applyNumberFormat="1" applyAlignment="1">
      <alignment horizontal="center"/>
    </xf>
    <xf numFmtId="166" fontId="0" fillId="0" borderId="0" xfId="0" applyNumberFormat="1" applyAlignment="1">
      <alignment horizontal="center"/>
    </xf>
    <xf numFmtId="166" fontId="0" fillId="11" borderId="0" xfId="0" applyNumberFormat="1" applyFill="1"/>
    <xf numFmtId="166" fontId="33" fillId="20" borderId="0" xfId="0" applyNumberFormat="1" applyFont="1" applyFill="1" applyAlignment="1">
      <alignment horizontal="center" vertical="center"/>
    </xf>
    <xf numFmtId="166" fontId="33" fillId="20" borderId="0" xfId="0" applyNumberFormat="1" applyFont="1" applyFill="1" applyAlignment="1">
      <alignment horizontal="center"/>
    </xf>
    <xf numFmtId="2" fontId="0" fillId="0" borderId="0" xfId="0" applyNumberFormat="1" applyFill="1" applyAlignment="1">
      <alignment horizontal="center"/>
    </xf>
    <xf numFmtId="166" fontId="33" fillId="21" borderId="0" xfId="0" applyNumberFormat="1" applyFont="1" applyFill="1"/>
    <xf numFmtId="2" fontId="33" fillId="0" borderId="0" xfId="0" applyNumberFormat="1" applyFont="1" applyFill="1" applyAlignment="1">
      <alignment horizontal="center"/>
    </xf>
    <xf numFmtId="166" fontId="0" fillId="25" borderId="0" xfId="0" applyNumberFormat="1" applyFill="1" applyAlignment="1">
      <alignment horizontal="center"/>
    </xf>
    <xf numFmtId="2" fontId="0" fillId="0" borderId="0" xfId="0" applyNumberFormat="1" applyAlignment="1">
      <alignment horizontal="center"/>
    </xf>
    <xf numFmtId="2" fontId="0" fillId="0" borderId="0" xfId="0" applyNumberFormat="1" applyAlignment="1">
      <alignment horizontal="center"/>
    </xf>
    <xf numFmtId="165" fontId="4" fillId="0" borderId="0" xfId="0" applyNumberFormat="1" applyFont="1" applyAlignment="1">
      <alignment horizontal="center"/>
    </xf>
    <xf numFmtId="167" fontId="0" fillId="0" borderId="0" xfId="0" applyNumberFormat="1"/>
    <xf numFmtId="167" fontId="4" fillId="0" borderId="0" xfId="0" applyNumberFormat="1" applyFont="1"/>
    <xf numFmtId="165" fontId="0" fillId="0" borderId="0" xfId="0" applyNumberFormat="1" applyFill="1" applyAlignment="1">
      <alignment horizontal="center"/>
    </xf>
    <xf numFmtId="2" fontId="0" fillId="0" borderId="0" xfId="0" applyNumberFormat="1" applyFill="1"/>
    <xf numFmtId="0" fontId="0" fillId="0" borderId="0" xfId="0" applyProtection="1">
      <protection locked="0"/>
    </xf>
    <xf numFmtId="0" fontId="46" fillId="0" borderId="0" xfId="0" applyFont="1" applyFill="1" applyBorder="1" applyProtection="1">
      <protection locked="0"/>
    </xf>
    <xf numFmtId="0" fontId="35" fillId="0" borderId="0" xfId="0" applyFont="1" applyProtection="1">
      <protection locked="0"/>
    </xf>
    <xf numFmtId="0" fontId="47" fillId="0" borderId="0" xfId="0" applyFont="1" applyFill="1" applyBorder="1" applyProtection="1">
      <protection locked="0"/>
    </xf>
    <xf numFmtId="0" fontId="7" fillId="0" borderId="0" xfId="0" applyFont="1" applyProtection="1">
      <protection locked="0"/>
    </xf>
    <xf numFmtId="0" fontId="48" fillId="0" borderId="0" xfId="0" applyFont="1" applyFill="1" applyBorder="1" applyProtection="1">
      <protection locked="0"/>
    </xf>
    <xf numFmtId="0" fontId="35" fillId="0" borderId="0" xfId="0" applyFont="1" applyAlignment="1" applyProtection="1">
      <alignment horizontal="center"/>
      <protection locked="0"/>
    </xf>
    <xf numFmtId="0" fontId="47" fillId="0" borderId="0" xfId="0" applyFont="1" applyFill="1" applyBorder="1" applyAlignment="1" applyProtection="1">
      <alignment horizontal="center"/>
      <protection locked="0"/>
    </xf>
    <xf numFmtId="0" fontId="49" fillId="0" borderId="0" xfId="0" applyFont="1" applyFill="1" applyBorder="1" applyAlignment="1" applyProtection="1">
      <alignment horizontal="left"/>
      <protection locked="0"/>
    </xf>
    <xf numFmtId="0" fontId="50" fillId="0" borderId="0" xfId="0" applyFont="1" applyFill="1" applyBorder="1" applyAlignment="1" applyProtection="1">
      <alignment horizontal="center" vertical="center" wrapText="1"/>
      <protection locked="0"/>
    </xf>
    <xf numFmtId="0" fontId="50" fillId="0" borderId="0" xfId="0" applyFont="1" applyFill="1" applyBorder="1" applyAlignment="1" applyProtection="1">
      <alignment horizontal="center"/>
      <protection locked="0"/>
    </xf>
    <xf numFmtId="1" fontId="47" fillId="0" borderId="0" xfId="0" applyNumberFormat="1" applyFont="1" applyFill="1" applyBorder="1" applyAlignment="1" applyProtection="1">
      <alignment horizontal="center"/>
      <protection locked="0"/>
    </xf>
    <xf numFmtId="0" fontId="24" fillId="0" borderId="0" xfId="0" applyFont="1" applyFill="1" applyBorder="1" applyAlignment="1" applyProtection="1">
      <alignment horizontal="center"/>
      <protection locked="0"/>
    </xf>
    <xf numFmtId="0" fontId="46" fillId="0" borderId="0" xfId="0" applyFont="1" applyFill="1" applyBorder="1" applyAlignment="1" applyProtection="1">
      <alignment horizontal="center"/>
      <protection locked="0"/>
    </xf>
    <xf numFmtId="0" fontId="0" fillId="0" borderId="0" xfId="0" applyAlignment="1" applyProtection="1">
      <alignment horizontal="left"/>
      <protection locked="0"/>
    </xf>
    <xf numFmtId="0" fontId="46" fillId="0" borderId="0" xfId="0" applyFont="1" applyFill="1" applyBorder="1" applyAlignment="1" applyProtection="1">
      <alignment horizontal="left"/>
      <protection locked="0"/>
    </xf>
    <xf numFmtId="0" fontId="47" fillId="0" borderId="0" xfId="0" applyFont="1" applyFill="1" applyBorder="1" applyAlignment="1" applyProtection="1">
      <alignment horizontal="left"/>
      <protection locked="0"/>
    </xf>
    <xf numFmtId="1" fontId="46" fillId="0" borderId="0" xfId="0" applyNumberFormat="1" applyFont="1" applyFill="1" applyBorder="1" applyAlignment="1" applyProtection="1">
      <alignment horizontal="center"/>
      <protection locked="0"/>
    </xf>
    <xf numFmtId="0" fontId="0" fillId="0" borderId="0" xfId="0" applyAlignment="1" applyProtection="1">
      <alignment horizontal="center"/>
      <protection locked="0"/>
    </xf>
    <xf numFmtId="0" fontId="24" fillId="0" borderId="0" xfId="0" applyFont="1" applyFill="1" applyBorder="1" applyProtection="1">
      <protection locked="0"/>
    </xf>
    <xf numFmtId="0" fontId="35" fillId="6" borderId="4" xfId="0" applyFont="1" applyFill="1" applyBorder="1" applyAlignment="1" applyProtection="1">
      <alignment horizontal="center"/>
      <protection locked="0"/>
    </xf>
    <xf numFmtId="0" fontId="35" fillId="6" borderId="28" xfId="0" applyFont="1" applyFill="1" applyBorder="1" applyAlignment="1" applyProtection="1">
      <alignment horizontal="center"/>
      <protection locked="0"/>
    </xf>
    <xf numFmtId="0" fontId="35" fillId="6" borderId="1" xfId="0" applyFont="1" applyFill="1" applyBorder="1" applyAlignment="1" applyProtection="1">
      <alignment horizontal="center"/>
      <protection locked="0"/>
    </xf>
    <xf numFmtId="0" fontId="35" fillId="6" borderId="29" xfId="0" applyFont="1" applyFill="1" applyBorder="1" applyAlignment="1" applyProtection="1">
      <alignment horizontal="center"/>
      <protection locked="0"/>
    </xf>
    <xf numFmtId="0" fontId="0" fillId="6" borderId="1" xfId="0" applyFill="1" applyBorder="1" applyAlignment="1" applyProtection="1">
      <alignment horizontal="center"/>
      <protection locked="0"/>
    </xf>
    <xf numFmtId="0" fontId="35" fillId="6" borderId="20" xfId="0" applyFont="1" applyFill="1" applyBorder="1" applyAlignment="1" applyProtection="1">
      <alignment horizontal="center"/>
      <protection locked="0"/>
    </xf>
    <xf numFmtId="0" fontId="35" fillId="0" borderId="0" xfId="0" applyFont="1" applyAlignment="1" applyProtection="1">
      <alignment horizontal="center"/>
    </xf>
    <xf numFmtId="0" fontId="0" fillId="16" borderId="0" xfId="0" applyFill="1" applyProtection="1"/>
    <xf numFmtId="0" fontId="11" fillId="16" borderId="0" xfId="0" applyFont="1" applyFill="1" applyProtection="1"/>
    <xf numFmtId="0" fontId="21" fillId="16" borderId="0" xfId="0" applyFont="1" applyFill="1" applyProtection="1"/>
    <xf numFmtId="0" fontId="0" fillId="0" borderId="0" xfId="0" applyProtection="1"/>
    <xf numFmtId="0" fontId="35" fillId="16" borderId="0" xfId="0" applyFont="1" applyFill="1" applyProtection="1"/>
    <xf numFmtId="0" fontId="35" fillId="0" borderId="0" xfId="0" applyFont="1" applyProtection="1"/>
    <xf numFmtId="0" fontId="7" fillId="0" borderId="0" xfId="0" applyFont="1" applyProtection="1"/>
    <xf numFmtId="0" fontId="7" fillId="16" borderId="0" xfId="0" applyFont="1" applyFill="1" applyProtection="1"/>
    <xf numFmtId="0" fontId="6" fillId="16" borderId="0" xfId="0" applyFont="1" applyFill="1" applyAlignment="1" applyProtection="1">
      <alignment horizontal="right"/>
    </xf>
    <xf numFmtId="0" fontId="6" fillId="16" borderId="0" xfId="0" applyFont="1" applyFill="1" applyProtection="1"/>
    <xf numFmtId="0" fontId="35" fillId="0" borderId="6" xfId="0" applyFont="1" applyBorder="1" applyAlignment="1" applyProtection="1">
      <alignment horizontal="center"/>
    </xf>
    <xf numFmtId="0" fontId="35" fillId="0" borderId="7" xfId="0" applyFont="1" applyBorder="1" applyAlignment="1" applyProtection="1">
      <alignment horizontal="center"/>
    </xf>
    <xf numFmtId="0" fontId="18" fillId="0" borderId="7" xfId="0" applyFont="1" applyBorder="1" applyAlignment="1" applyProtection="1">
      <alignment horizontal="right"/>
    </xf>
    <xf numFmtId="0" fontId="36" fillId="0" borderId="7" xfId="0" applyFont="1" applyBorder="1" applyAlignment="1" applyProtection="1">
      <alignment horizontal="left"/>
    </xf>
    <xf numFmtId="0" fontId="18" fillId="0" borderId="7" xfId="0" applyFont="1" applyBorder="1" applyAlignment="1" applyProtection="1">
      <alignment horizontal="left"/>
    </xf>
    <xf numFmtId="0" fontId="35" fillId="0" borderId="8" xfId="0" applyFont="1" applyBorder="1" applyAlignment="1" applyProtection="1">
      <alignment horizontal="center"/>
    </xf>
    <xf numFmtId="0" fontId="18" fillId="16" borderId="6" xfId="0" applyFont="1" applyFill="1" applyBorder="1" applyAlignment="1" applyProtection="1">
      <alignment horizontal="left" vertical="center"/>
    </xf>
    <xf numFmtId="0" fontId="35" fillId="16" borderId="7" xfId="0" applyFont="1" applyFill="1" applyBorder="1" applyAlignment="1" applyProtection="1">
      <alignment horizontal="center"/>
    </xf>
    <xf numFmtId="0" fontId="35" fillId="0" borderId="26" xfId="0" applyFont="1" applyBorder="1" applyAlignment="1" applyProtection="1">
      <alignment horizontal="center"/>
    </xf>
    <xf numFmtId="0" fontId="36" fillId="0" borderId="25" xfId="0" applyFont="1" applyBorder="1" applyAlignment="1" applyProtection="1">
      <alignment horizontal="center" vertical="center" wrapText="1"/>
    </xf>
    <xf numFmtId="0" fontId="36" fillId="0" borderId="25" xfId="0" applyFont="1" applyBorder="1" applyAlignment="1" applyProtection="1">
      <alignment horizontal="center" wrapText="1"/>
    </xf>
    <xf numFmtId="0" fontId="35" fillId="0" borderId="25" xfId="0" applyFont="1" applyBorder="1" applyAlignment="1" applyProtection="1">
      <alignment horizontal="center"/>
    </xf>
    <xf numFmtId="0" fontId="36" fillId="0" borderId="27" xfId="0" applyFont="1" applyBorder="1" applyAlignment="1" applyProtection="1">
      <alignment horizontal="center" vertical="center" wrapText="1"/>
    </xf>
    <xf numFmtId="0" fontId="36" fillId="0" borderId="2" xfId="0" applyFont="1" applyBorder="1" applyAlignment="1" applyProtection="1">
      <alignment horizontal="left"/>
    </xf>
    <xf numFmtId="0" fontId="35" fillId="0" borderId="0" xfId="0" applyFont="1" applyBorder="1" applyAlignment="1" applyProtection="1">
      <alignment horizontal="center"/>
    </xf>
    <xf numFmtId="0" fontId="35" fillId="0" borderId="3" xfId="0" applyFont="1" applyBorder="1" applyAlignment="1" applyProtection="1">
      <alignment horizontal="center"/>
    </xf>
    <xf numFmtId="0" fontId="36" fillId="21" borderId="6" xfId="0" applyFont="1" applyFill="1" applyBorder="1" applyAlignment="1" applyProtection="1">
      <alignment horizontal="center"/>
    </xf>
    <xf numFmtId="0" fontId="35" fillId="21" borderId="7" xfId="0" applyFont="1" applyFill="1" applyBorder="1" applyAlignment="1" applyProtection="1">
      <alignment horizontal="center"/>
    </xf>
    <xf numFmtId="1" fontId="35" fillId="21" borderId="4" xfId="0" applyNumberFormat="1" applyFont="1" applyFill="1" applyBorder="1" applyAlignment="1" applyProtection="1">
      <alignment horizontal="center"/>
    </xf>
    <xf numFmtId="1" fontId="35" fillId="0" borderId="7" xfId="0" applyNumberFormat="1" applyFont="1" applyBorder="1" applyAlignment="1" applyProtection="1">
      <alignment horizontal="center"/>
    </xf>
    <xf numFmtId="0" fontId="35" fillId="0" borderId="2" xfId="0" applyFont="1" applyBorder="1" applyAlignment="1" applyProtection="1">
      <alignment horizontal="right"/>
    </xf>
    <xf numFmtId="1" fontId="35" fillId="21" borderId="1" xfId="0" applyNumberFormat="1" applyFont="1" applyFill="1" applyBorder="1" applyAlignment="1" applyProtection="1">
      <alignment horizontal="center"/>
    </xf>
    <xf numFmtId="0" fontId="35" fillId="0" borderId="3" xfId="0" applyFont="1" applyBorder="1" applyAlignment="1" applyProtection="1">
      <alignment horizontal="left"/>
    </xf>
    <xf numFmtId="0" fontId="36" fillId="21" borderId="2" xfId="0" applyFont="1" applyFill="1" applyBorder="1" applyAlignment="1" applyProtection="1">
      <alignment horizontal="center"/>
    </xf>
    <xf numFmtId="0" fontId="35" fillId="21" borderId="0" xfId="0" applyFont="1" applyFill="1" applyAlignment="1" applyProtection="1">
      <alignment horizontal="center"/>
    </xf>
    <xf numFmtId="1" fontId="35" fillId="0" borderId="0" xfId="0" applyNumberFormat="1" applyFont="1" applyAlignment="1" applyProtection="1">
      <alignment horizontal="center"/>
    </xf>
    <xf numFmtId="0" fontId="35" fillId="21" borderId="1" xfId="0" applyFont="1" applyFill="1" applyBorder="1" applyAlignment="1" applyProtection="1">
      <alignment horizontal="center"/>
    </xf>
    <xf numFmtId="0" fontId="35" fillId="21" borderId="29" xfId="0" applyFont="1" applyFill="1" applyBorder="1" applyAlignment="1" applyProtection="1">
      <alignment horizontal="center"/>
    </xf>
    <xf numFmtId="0" fontId="0" fillId="21" borderId="1" xfId="0" applyFill="1" applyBorder="1" applyAlignment="1" applyProtection="1">
      <alignment horizontal="center"/>
    </xf>
    <xf numFmtId="1" fontId="0" fillId="21" borderId="1" xfId="0" applyNumberFormat="1" applyFill="1" applyBorder="1" applyAlignment="1" applyProtection="1">
      <alignment horizontal="center"/>
    </xf>
    <xf numFmtId="0" fontId="0" fillId="0" borderId="3" xfId="0" applyBorder="1" applyAlignment="1" applyProtection="1">
      <alignment horizontal="left"/>
    </xf>
    <xf numFmtId="0" fontId="36" fillId="0" borderId="2" xfId="0" applyFont="1" applyBorder="1" applyAlignment="1" applyProtection="1">
      <alignment horizontal="center"/>
    </xf>
    <xf numFmtId="0" fontId="35" fillId="0" borderId="2" xfId="0" applyFont="1" applyBorder="1" applyAlignment="1" applyProtection="1">
      <alignment horizontal="center"/>
    </xf>
    <xf numFmtId="0" fontId="18" fillId="16" borderId="2" xfId="0" applyFont="1" applyFill="1" applyBorder="1" applyAlignment="1" applyProtection="1">
      <alignment horizontal="left" vertical="center"/>
    </xf>
    <xf numFmtId="0" fontId="35" fillId="16" borderId="0" xfId="0" applyFont="1" applyFill="1" applyBorder="1" applyProtection="1"/>
    <xf numFmtId="0" fontId="35" fillId="0" borderId="3" xfId="0" applyFont="1" applyBorder="1" applyProtection="1"/>
    <xf numFmtId="0" fontId="0" fillId="0" borderId="0" xfId="0" applyAlignment="1" applyProtection="1">
      <alignment horizontal="left"/>
    </xf>
    <xf numFmtId="0" fontId="35" fillId="21" borderId="2" xfId="0" applyFont="1" applyFill="1" applyBorder="1" applyAlignment="1" applyProtection="1">
      <alignment horizontal="center"/>
    </xf>
    <xf numFmtId="0" fontId="35" fillId="21" borderId="26" xfId="0" applyFont="1" applyFill="1" applyBorder="1" applyAlignment="1" applyProtection="1">
      <alignment horizontal="center"/>
    </xf>
    <xf numFmtId="0" fontId="35" fillId="21" borderId="25" xfId="0" applyFont="1" applyFill="1" applyBorder="1" applyAlignment="1" applyProtection="1">
      <alignment horizontal="center"/>
    </xf>
    <xf numFmtId="1" fontId="35" fillId="21" borderId="20" xfId="0" applyNumberFormat="1" applyFont="1" applyFill="1" applyBorder="1" applyAlignment="1" applyProtection="1">
      <alignment horizontal="center"/>
    </xf>
    <xf numFmtId="1" fontId="35" fillId="0" borderId="25" xfId="0" applyNumberFormat="1" applyFont="1" applyBorder="1" applyAlignment="1" applyProtection="1">
      <alignment horizontal="center"/>
    </xf>
    <xf numFmtId="0" fontId="4" fillId="0" borderId="2" xfId="0" applyFont="1" applyBorder="1" applyAlignment="1" applyProtection="1">
      <alignment horizontal="left"/>
    </xf>
    <xf numFmtId="0" fontId="0" fillId="0" borderId="0" xfId="0" applyBorder="1" applyAlignment="1" applyProtection="1">
      <alignment horizontal="center"/>
    </xf>
    <xf numFmtId="0" fontId="0" fillId="0" borderId="3" xfId="0" applyBorder="1" applyAlignment="1" applyProtection="1">
      <alignment horizontal="center"/>
    </xf>
    <xf numFmtId="0" fontId="6" fillId="16" borderId="0" xfId="0" applyFont="1" applyFill="1" applyAlignment="1" applyProtection="1">
      <alignment horizontal="center"/>
    </xf>
    <xf numFmtId="0" fontId="6" fillId="21" borderId="6" xfId="0" applyFont="1" applyFill="1" applyBorder="1" applyAlignment="1" applyProtection="1">
      <alignment horizontal="center"/>
    </xf>
    <xf numFmtId="0" fontId="6" fillId="21" borderId="7" xfId="0" applyFont="1" applyFill="1" applyBorder="1" applyAlignment="1" applyProtection="1">
      <alignment horizontal="right"/>
    </xf>
    <xf numFmtId="1" fontId="6" fillId="21" borderId="4" xfId="0" applyNumberFormat="1" applyFont="1" applyFill="1" applyBorder="1" applyAlignment="1" applyProtection="1">
      <alignment horizontal="center"/>
    </xf>
    <xf numFmtId="1" fontId="6" fillId="21" borderId="7" xfId="0" applyNumberFormat="1" applyFont="1" applyFill="1" applyBorder="1" applyAlignment="1" applyProtection="1">
      <alignment horizontal="center"/>
    </xf>
    <xf numFmtId="0" fontId="6" fillId="21" borderId="8" xfId="0" applyFont="1" applyFill="1" applyBorder="1" applyAlignment="1" applyProtection="1">
      <alignment horizontal="left"/>
    </xf>
    <xf numFmtId="0" fontId="6" fillId="21" borderId="2" xfId="0" applyFont="1" applyFill="1" applyBorder="1" applyAlignment="1" applyProtection="1">
      <alignment horizontal="center"/>
    </xf>
    <xf numFmtId="0" fontId="6" fillId="21" borderId="0" xfId="0" applyFont="1" applyFill="1" applyAlignment="1" applyProtection="1">
      <alignment horizontal="right"/>
    </xf>
    <xf numFmtId="0" fontId="6" fillId="21" borderId="0" xfId="0" applyFont="1" applyFill="1" applyAlignment="1" applyProtection="1">
      <alignment horizontal="center"/>
    </xf>
    <xf numFmtId="1" fontId="6" fillId="21" borderId="1" xfId="0" applyNumberFormat="1" applyFont="1" applyFill="1" applyBorder="1" applyAlignment="1" applyProtection="1">
      <alignment horizontal="center"/>
    </xf>
    <xf numFmtId="1" fontId="6" fillId="21" borderId="0" xfId="0" applyNumberFormat="1" applyFont="1" applyFill="1" applyAlignment="1" applyProtection="1">
      <alignment horizontal="center"/>
    </xf>
    <xf numFmtId="0" fontId="6" fillId="21" borderId="3" xfId="0" applyFont="1" applyFill="1" applyBorder="1" applyAlignment="1" applyProtection="1">
      <alignment horizontal="left"/>
    </xf>
    <xf numFmtId="0" fontId="0" fillId="0" borderId="0" xfId="0" applyAlignment="1" applyProtection="1">
      <alignment horizontal="center"/>
    </xf>
    <xf numFmtId="0" fontId="6" fillId="21" borderId="26" xfId="0" applyFont="1" applyFill="1" applyBorder="1" applyAlignment="1" applyProtection="1">
      <alignment horizontal="center"/>
    </xf>
    <xf numFmtId="0" fontId="6" fillId="21" borderId="25" xfId="0" applyFont="1" applyFill="1" applyBorder="1" applyAlignment="1" applyProtection="1">
      <alignment horizontal="right"/>
    </xf>
    <xf numFmtId="0" fontId="0" fillId="21" borderId="25" xfId="0" applyFill="1" applyBorder="1" applyAlignment="1" applyProtection="1">
      <alignment horizontal="center"/>
    </xf>
    <xf numFmtId="0" fontId="6" fillId="21" borderId="25" xfId="0" applyFont="1" applyFill="1" applyBorder="1" applyAlignment="1" applyProtection="1">
      <alignment horizontal="center"/>
    </xf>
    <xf numFmtId="1" fontId="6" fillId="21" borderId="20" xfId="0" applyNumberFormat="1" applyFont="1" applyFill="1" applyBorder="1" applyAlignment="1" applyProtection="1">
      <alignment horizontal="center"/>
    </xf>
    <xf numFmtId="0" fontId="6" fillId="21" borderId="27" xfId="0" applyFont="1" applyFill="1" applyBorder="1" applyAlignment="1" applyProtection="1">
      <alignment horizontal="left"/>
    </xf>
    <xf numFmtId="0" fontId="35" fillId="0" borderId="0" xfId="0" applyFont="1" applyAlignment="1" applyProtection="1">
      <alignment horizontal="left"/>
    </xf>
    <xf numFmtId="0" fontId="39" fillId="0" borderId="0" xfId="0" applyFont="1" applyProtection="1"/>
    <xf numFmtId="0" fontId="18" fillId="0" borderId="0" xfId="0" applyFont="1" applyProtection="1"/>
    <xf numFmtId="0" fontId="0" fillId="0" borderId="0" xfId="0" applyBorder="1" applyProtection="1"/>
    <xf numFmtId="0" fontId="0" fillId="0" borderId="3" xfId="0" applyBorder="1" applyProtection="1"/>
    <xf numFmtId="0" fontId="0" fillId="0" borderId="2" xfId="0" applyBorder="1" applyAlignment="1" applyProtection="1">
      <alignment horizontal="center"/>
    </xf>
    <xf numFmtId="0" fontId="18" fillId="16" borderId="0" xfId="0" applyFont="1" applyFill="1" applyBorder="1" applyAlignment="1" applyProtection="1">
      <alignment horizontal="left" vertical="center"/>
    </xf>
    <xf numFmtId="0" fontId="36" fillId="0" borderId="0" xfId="0" applyFont="1" applyProtection="1"/>
    <xf numFmtId="0" fontId="35" fillId="0" borderId="0" xfId="0" applyFont="1" applyAlignment="1" applyProtection="1">
      <alignment horizontal="right"/>
    </xf>
    <xf numFmtId="0" fontId="0" fillId="0" borderId="0" xfId="0" applyFill="1" applyProtection="1"/>
    <xf numFmtId="0" fontId="35" fillId="0" borderId="2" xfId="0" applyFont="1" applyFill="1" applyBorder="1" applyAlignment="1" applyProtection="1">
      <alignment horizontal="right"/>
    </xf>
    <xf numFmtId="0" fontId="0" fillId="0" borderId="26" xfId="0" applyBorder="1" applyProtection="1"/>
    <xf numFmtId="0" fontId="0" fillId="0" borderId="25" xfId="0" applyBorder="1" applyProtection="1"/>
    <xf numFmtId="0" fontId="0" fillId="0" borderId="27" xfId="0" applyBorder="1" applyProtection="1"/>
    <xf numFmtId="0" fontId="0" fillId="21" borderId="4" xfId="0" applyFill="1" applyBorder="1" applyAlignment="1" applyProtection="1">
      <alignment horizontal="center" vertical="center"/>
    </xf>
    <xf numFmtId="0" fontId="0" fillId="21" borderId="1" xfId="0" applyFill="1" applyBorder="1" applyAlignment="1" applyProtection="1">
      <alignment horizontal="center" vertical="center"/>
    </xf>
    <xf numFmtId="0" fontId="35" fillId="21" borderId="1" xfId="0" applyFont="1" applyFill="1" applyBorder="1" applyAlignment="1" applyProtection="1">
      <alignment horizontal="center" vertical="center"/>
    </xf>
    <xf numFmtId="0" fontId="0" fillId="21" borderId="20" xfId="0" applyFill="1" applyBorder="1" applyAlignment="1" applyProtection="1">
      <alignment horizontal="center" vertical="center"/>
    </xf>
    <xf numFmtId="0" fontId="35" fillId="21" borderId="30" xfId="0" applyFont="1" applyFill="1" applyBorder="1" applyAlignment="1" applyProtection="1">
      <alignment horizontal="center" vertical="center"/>
    </xf>
    <xf numFmtId="0" fontId="0" fillId="21" borderId="3" xfId="0" applyFill="1" applyBorder="1" applyAlignment="1" applyProtection="1">
      <alignment horizontal="center" vertical="center"/>
    </xf>
    <xf numFmtId="0" fontId="0" fillId="21" borderId="31" xfId="0" applyFill="1" applyBorder="1" applyAlignment="1" applyProtection="1">
      <alignment horizontal="center" vertical="center"/>
    </xf>
    <xf numFmtId="0" fontId="0" fillId="21" borderId="27" xfId="0" applyFill="1" applyBorder="1" applyAlignment="1" applyProtection="1">
      <alignment horizontal="center" vertical="center"/>
    </xf>
    <xf numFmtId="10" fontId="0" fillId="9" borderId="1" xfId="0" applyNumberFormat="1" applyFill="1" applyBorder="1" applyAlignment="1">
      <alignment horizontal="center" vertical="center" wrapText="1"/>
    </xf>
    <xf numFmtId="0" fontId="5" fillId="5" borderId="0" xfId="0" applyFont="1" applyFill="1" applyAlignment="1">
      <alignment horizontal="center"/>
    </xf>
    <xf numFmtId="0" fontId="4" fillId="0" borderId="0" xfId="0" applyFont="1" applyAlignment="1">
      <alignment horizontal="center"/>
    </xf>
    <xf numFmtId="0" fontId="0" fillId="0" borderId="0" xfId="0" applyAlignment="1">
      <alignment horizontal="center"/>
    </xf>
    <xf numFmtId="0" fontId="0" fillId="25" borderId="0" xfId="0" applyFill="1" applyAlignment="1">
      <alignment horizontal="center"/>
    </xf>
    <xf numFmtId="164" fontId="0" fillId="0" borderId="0" xfId="0" applyNumberFormat="1" applyAlignment="1">
      <alignment horizontal="center"/>
    </xf>
    <xf numFmtId="164" fontId="0" fillId="25" borderId="0" xfId="0" applyNumberFormat="1" applyFill="1" applyAlignment="1">
      <alignment horizontal="center"/>
    </xf>
    <xf numFmtId="166" fontId="0" fillId="0" borderId="0" xfId="0" applyNumberFormat="1" applyAlignment="1">
      <alignment horizontal="center" vertical="center"/>
    </xf>
    <xf numFmtId="166" fontId="0" fillId="25" borderId="0" xfId="0" applyNumberFormat="1" applyFill="1" applyAlignment="1">
      <alignment horizontal="center"/>
    </xf>
    <xf numFmtId="166" fontId="0" fillId="0" borderId="0" xfId="0" applyNumberFormat="1" applyAlignment="1">
      <alignment horizontal="center"/>
    </xf>
    <xf numFmtId="10" fontId="0" fillId="12" borderId="0" xfId="0" applyNumberFormat="1" applyFill="1" applyAlignment="1">
      <alignment horizontal="center"/>
    </xf>
    <xf numFmtId="10" fontId="0" fillId="25" borderId="0" xfId="0" applyNumberFormat="1" applyFill="1" applyAlignment="1">
      <alignment horizontal="center"/>
    </xf>
    <xf numFmtId="164" fontId="6" fillId="5" borderId="0" xfId="0" applyNumberFormat="1" applyFont="1" applyFill="1" applyAlignment="1">
      <alignment horizontal="center"/>
    </xf>
    <xf numFmtId="0" fontId="32" fillId="25" borderId="0" xfId="0" applyFont="1" applyFill="1" applyAlignment="1">
      <alignment horizontal="center"/>
    </xf>
    <xf numFmtId="0" fontId="0" fillId="0" borderId="12" xfId="0" applyBorder="1" applyAlignment="1">
      <alignment horizontal="center"/>
    </xf>
    <xf numFmtId="164" fontId="32" fillId="25" borderId="1" xfId="0" applyNumberFormat="1" applyFont="1" applyFill="1" applyBorder="1" applyAlignment="1">
      <alignment horizontal="center"/>
    </xf>
    <xf numFmtId="10" fontId="0" fillId="0" borderId="0" xfId="0" applyNumberFormat="1" applyAlignment="1">
      <alignment horizontal="center" vertical="center"/>
    </xf>
    <xf numFmtId="164" fontId="32" fillId="25" borderId="11" xfId="0" applyNumberFormat="1" applyFont="1" applyFill="1" applyBorder="1" applyAlignment="1">
      <alignment horizontal="center"/>
    </xf>
    <xf numFmtId="164" fontId="32" fillId="25" borderId="0" xfId="0" applyNumberFormat="1" applyFont="1" applyFill="1" applyAlignment="1">
      <alignment horizontal="center"/>
    </xf>
    <xf numFmtId="0" fontId="17" fillId="22" borderId="0" xfId="0" applyFont="1" applyFill="1" applyAlignment="1">
      <alignment horizontal="left"/>
    </xf>
    <xf numFmtId="0" fontId="8" fillId="26" borderId="0" xfId="0" applyFont="1" applyFill="1" applyAlignment="1">
      <alignment horizontal="center"/>
    </xf>
    <xf numFmtId="2" fontId="6" fillId="5" borderId="1" xfId="0" applyNumberFormat="1" applyFont="1" applyFill="1" applyBorder="1" applyAlignment="1">
      <alignment horizontal="center"/>
    </xf>
    <xf numFmtId="2" fontId="6" fillId="0" borderId="1" xfId="0" applyNumberFormat="1" applyFont="1" applyBorder="1" applyAlignment="1">
      <alignment horizontal="center"/>
    </xf>
    <xf numFmtId="2" fontId="6" fillId="0" borderId="5" xfId="0" applyNumberFormat="1" applyFont="1" applyBorder="1" applyAlignment="1">
      <alignment horizontal="center"/>
    </xf>
    <xf numFmtId="2" fontId="6" fillId="0" borderId="9" xfId="0" applyNumberFormat="1" applyFont="1" applyBorder="1" applyAlignment="1">
      <alignment horizontal="center"/>
    </xf>
    <xf numFmtId="2" fontId="6" fillId="0" borderId="11" xfId="0" applyNumberFormat="1" applyFont="1" applyBorder="1" applyAlignment="1">
      <alignment horizontal="center"/>
    </xf>
    <xf numFmtId="2" fontId="6" fillId="0" borderId="0" xfId="0" applyNumberFormat="1" applyFont="1" applyAlignment="1">
      <alignment horizontal="center"/>
    </xf>
    <xf numFmtId="2" fontId="0" fillId="25" borderId="11" xfId="0" applyNumberFormat="1" applyFill="1" applyBorder="1" applyAlignment="1">
      <alignment horizontal="center"/>
    </xf>
    <xf numFmtId="2" fontId="0" fillId="25" borderId="0" xfId="0" applyNumberFormat="1" applyFill="1" applyAlignment="1">
      <alignment horizontal="center"/>
    </xf>
    <xf numFmtId="2" fontId="0" fillId="0" borderId="0" xfId="0" applyNumberFormat="1" applyAlignment="1">
      <alignment horizontal="center"/>
    </xf>
    <xf numFmtId="2" fontId="0" fillId="0" borderId="13" xfId="0" applyNumberFormat="1" applyBorder="1" applyAlignment="1">
      <alignment horizontal="center"/>
    </xf>
    <xf numFmtId="0" fontId="0" fillId="4" borderId="0" xfId="0" applyFill="1" applyAlignment="1">
      <alignment horizontal="center"/>
    </xf>
    <xf numFmtId="0" fontId="8" fillId="8" borderId="0" xfId="0" applyFont="1" applyFill="1" applyAlignment="1">
      <alignment horizontal="center"/>
    </xf>
    <xf numFmtId="0" fontId="9" fillId="15" borderId="0" xfId="0" applyFont="1" applyFill="1" applyAlignment="1">
      <alignment horizontal="center"/>
    </xf>
    <xf numFmtId="0" fontId="9" fillId="10" borderId="0" xfId="0" applyFont="1" applyFill="1" applyAlignment="1">
      <alignment horizontal="center"/>
    </xf>
    <xf numFmtId="0" fontId="9" fillId="7" borderId="0" xfId="0" applyFont="1" applyFill="1" applyAlignment="1">
      <alignment horizontal="center"/>
    </xf>
    <xf numFmtId="0" fontId="0" fillId="10" borderId="0" xfId="0" applyFill="1" applyAlignment="1">
      <alignment horizontal="center"/>
    </xf>
    <xf numFmtId="0" fontId="9" fillId="14" borderId="0" xfId="0" applyFont="1" applyFill="1" applyAlignment="1">
      <alignment horizontal="center"/>
    </xf>
    <xf numFmtId="0" fontId="9" fillId="3" borderId="0" xfId="0" applyFont="1" applyFill="1" applyAlignment="1">
      <alignment horizontal="center"/>
    </xf>
    <xf numFmtId="0" fontId="10" fillId="9" borderId="0" xfId="0" applyFont="1" applyFill="1" applyAlignment="1">
      <alignment horizontal="center"/>
    </xf>
    <xf numFmtId="0" fontId="11" fillId="13" borderId="0" xfId="0" applyFont="1" applyFill="1" applyAlignment="1">
      <alignment horizontal="center"/>
    </xf>
    <xf numFmtId="0" fontId="0" fillId="7" borderId="0" xfId="0" applyFill="1" applyAlignment="1">
      <alignment horizontal="center"/>
    </xf>
    <xf numFmtId="0" fontId="0" fillId="3" borderId="0" xfId="0" applyFill="1" applyAlignment="1">
      <alignment horizontal="center"/>
    </xf>
    <xf numFmtId="0" fontId="9" fillId="24" borderId="0" xfId="0" applyFont="1" applyFill="1" applyAlignment="1">
      <alignment horizontal="center"/>
    </xf>
    <xf numFmtId="0" fontId="0" fillId="16" borderId="0" xfId="0" applyFill="1" applyAlignment="1">
      <alignment horizontal="center"/>
    </xf>
    <xf numFmtId="0" fontId="19" fillId="27" borderId="0" xfId="0" applyFont="1" applyFill="1" applyAlignment="1">
      <alignment horizontal="center"/>
    </xf>
    <xf numFmtId="0" fontId="0" fillId="10" borderId="1" xfId="0" applyFill="1" applyBorder="1" applyAlignment="1">
      <alignment horizontal="center"/>
    </xf>
    <xf numFmtId="0" fontId="9" fillId="0" borderId="1" xfId="0" applyFont="1" applyBorder="1" applyAlignment="1">
      <alignment horizontal="center"/>
    </xf>
    <xf numFmtId="0" fontId="0" fillId="24" borderId="14" xfId="0" applyFill="1" applyBorder="1" applyAlignment="1">
      <alignment horizontal="center"/>
    </xf>
    <xf numFmtId="0" fontId="0" fillId="24" borderId="15" xfId="0" applyFill="1" applyBorder="1" applyAlignment="1">
      <alignment horizontal="center"/>
    </xf>
    <xf numFmtId="0" fontId="0" fillId="24" borderId="16" xfId="0" applyFill="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CC00CC"/>
      <color rgb="FFEFA969"/>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jpeg"/><Relationship Id="rId1" Type="http://schemas.openxmlformats.org/officeDocument/2006/relationships/hyperlink" Target="https://www.google.fr/url?sa=i&amp;url=https%3A%2F%2Ffr.wikipedia.org%2Fwiki%2FFichier%3AIfip_institut_du_porc(logo).jpg&amp;psig=AOvVaw1vo-d5gf_aPbwERoJ2xZzO&amp;ust=1575725488041000&amp;source=images&amp;cd=vfe&amp;ved=0CAIQjRxqFwoTCLigzYGRoeYCFQAAAAAdAAAAABAE" TargetMode="External"/><Relationship Id="rId5" Type="http://schemas.openxmlformats.org/officeDocument/2006/relationships/image" Target="../media/image4.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266700</xdr:colOff>
      <xdr:row>26</xdr:row>
      <xdr:rowOff>76200</xdr:rowOff>
    </xdr:from>
    <xdr:to>
      <xdr:col>6</xdr:col>
      <xdr:colOff>476250</xdr:colOff>
      <xdr:row>28</xdr:row>
      <xdr:rowOff>114300</xdr:rowOff>
    </xdr:to>
    <xdr:sp macro="" textlink="">
      <xdr:nvSpPr>
        <xdr:cNvPr id="4" name="Flèche : bas 3">
          <a:extLst>
            <a:ext uri="{FF2B5EF4-FFF2-40B4-BE49-F238E27FC236}">
              <a16:creationId xmlns:a16="http://schemas.microsoft.com/office/drawing/2014/main" id="{75A57215-A1DE-41A0-ACBB-76AA8AAAE402}"/>
            </a:ext>
          </a:extLst>
        </xdr:cNvPr>
        <xdr:cNvSpPr/>
      </xdr:nvSpPr>
      <xdr:spPr>
        <a:xfrm>
          <a:off x="5907617" y="5484283"/>
          <a:ext cx="209550" cy="461434"/>
        </a:xfrm>
        <a:prstGeom prst="down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311149</xdr:colOff>
      <xdr:row>26</xdr:row>
      <xdr:rowOff>76200</xdr:rowOff>
    </xdr:from>
    <xdr:to>
      <xdr:col>7</xdr:col>
      <xdr:colOff>497416</xdr:colOff>
      <xdr:row>28</xdr:row>
      <xdr:rowOff>114300</xdr:rowOff>
    </xdr:to>
    <xdr:sp macro="" textlink="">
      <xdr:nvSpPr>
        <xdr:cNvPr id="5" name="Flèche : bas 4">
          <a:extLst>
            <a:ext uri="{FF2B5EF4-FFF2-40B4-BE49-F238E27FC236}">
              <a16:creationId xmlns:a16="http://schemas.microsoft.com/office/drawing/2014/main" id="{53DA6D30-6501-4F5C-820C-445ABFC16FB9}"/>
            </a:ext>
          </a:extLst>
        </xdr:cNvPr>
        <xdr:cNvSpPr/>
      </xdr:nvSpPr>
      <xdr:spPr>
        <a:xfrm>
          <a:off x="6608232" y="5484283"/>
          <a:ext cx="186267" cy="461434"/>
        </a:xfrm>
        <a:prstGeom prst="down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814917</xdr:colOff>
      <xdr:row>0</xdr:row>
      <xdr:rowOff>116416</xdr:rowOff>
    </xdr:from>
    <xdr:to>
      <xdr:col>10</xdr:col>
      <xdr:colOff>106487</xdr:colOff>
      <xdr:row>4</xdr:row>
      <xdr:rowOff>47379</xdr:rowOff>
    </xdr:to>
    <xdr:pic>
      <xdr:nvPicPr>
        <xdr:cNvPr id="6" name="Image 5" descr="Résultat de recherche d'images pour &quot;logo ifip&quot;&quot;">
          <a:hlinkClick xmlns:r="http://schemas.openxmlformats.org/officeDocument/2006/relationships" r:id="rId1" tgtFrame="&quot;_blank&quot;"/>
          <a:extLst>
            <a:ext uri="{FF2B5EF4-FFF2-40B4-BE49-F238E27FC236}">
              <a16:creationId xmlns:a16="http://schemas.microsoft.com/office/drawing/2014/main" id="{54872BE3-31D6-41D5-A258-EAD07476652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25834" y="116416"/>
          <a:ext cx="1899303" cy="974480"/>
        </a:xfrm>
        <a:prstGeom prst="rect">
          <a:avLst/>
        </a:prstGeom>
        <a:noFill/>
        <a:ln>
          <a:noFill/>
        </a:ln>
      </xdr:spPr>
    </xdr:pic>
    <xdr:clientData/>
  </xdr:twoCellAnchor>
  <xdr:twoCellAnchor editAs="oneCell">
    <xdr:from>
      <xdr:col>12</xdr:col>
      <xdr:colOff>296333</xdr:colOff>
      <xdr:row>0</xdr:row>
      <xdr:rowOff>95250</xdr:rowOff>
    </xdr:from>
    <xdr:to>
      <xdr:col>12</xdr:col>
      <xdr:colOff>2315962</xdr:colOff>
      <xdr:row>4</xdr:row>
      <xdr:rowOff>31588</xdr:rowOff>
    </xdr:to>
    <xdr:pic>
      <xdr:nvPicPr>
        <xdr:cNvPr id="7" name="Image 6">
          <a:extLst>
            <a:ext uri="{FF2B5EF4-FFF2-40B4-BE49-F238E27FC236}">
              <a16:creationId xmlns:a16="http://schemas.microsoft.com/office/drawing/2014/main" id="{5954F242-17AD-4B10-80A3-D0BA608DB777}"/>
            </a:ext>
          </a:extLst>
        </xdr:cNvPr>
        <xdr:cNvPicPr/>
      </xdr:nvPicPr>
      <xdr:blipFill>
        <a:blip xmlns:r="http://schemas.openxmlformats.org/officeDocument/2006/relationships" r:embed="rId3"/>
        <a:stretch>
          <a:fillRect/>
        </a:stretch>
      </xdr:blipFill>
      <xdr:spPr>
        <a:xfrm>
          <a:off x="12202583" y="95250"/>
          <a:ext cx="2013279" cy="967155"/>
        </a:xfrm>
        <a:prstGeom prst="rect">
          <a:avLst/>
        </a:prstGeom>
      </xdr:spPr>
    </xdr:pic>
    <xdr:clientData/>
  </xdr:twoCellAnchor>
  <xdr:twoCellAnchor editAs="oneCell">
    <xdr:from>
      <xdr:col>10</xdr:col>
      <xdr:colOff>423334</xdr:colOff>
      <xdr:row>0</xdr:row>
      <xdr:rowOff>21167</xdr:rowOff>
    </xdr:from>
    <xdr:to>
      <xdr:col>11</xdr:col>
      <xdr:colOff>140842</xdr:colOff>
      <xdr:row>4</xdr:row>
      <xdr:rowOff>178940</xdr:rowOff>
    </xdr:to>
    <xdr:pic>
      <xdr:nvPicPr>
        <xdr:cNvPr id="8" name="Image 7">
          <a:extLst>
            <a:ext uri="{FF2B5EF4-FFF2-40B4-BE49-F238E27FC236}">
              <a16:creationId xmlns:a16="http://schemas.microsoft.com/office/drawing/2014/main" id="{390BF231-A9EE-480D-A160-9692B638CADF}"/>
            </a:ext>
          </a:extLst>
        </xdr:cNvPr>
        <xdr:cNvPicPr/>
      </xdr:nvPicPr>
      <xdr:blipFill>
        <a:blip xmlns:r="http://schemas.openxmlformats.org/officeDocument/2006/relationships" r:embed="rId4"/>
        <a:stretch>
          <a:fillRect/>
        </a:stretch>
      </xdr:blipFill>
      <xdr:spPr>
        <a:xfrm>
          <a:off x="9948334" y="21167"/>
          <a:ext cx="1707175" cy="1188590"/>
        </a:xfrm>
        <a:prstGeom prst="rect">
          <a:avLst/>
        </a:prstGeom>
      </xdr:spPr>
    </xdr:pic>
    <xdr:clientData/>
  </xdr:twoCellAnchor>
  <xdr:twoCellAnchor editAs="oneCell">
    <xdr:from>
      <xdr:col>13</xdr:col>
      <xdr:colOff>74083</xdr:colOff>
      <xdr:row>0</xdr:row>
      <xdr:rowOff>0</xdr:rowOff>
    </xdr:from>
    <xdr:to>
      <xdr:col>14</xdr:col>
      <xdr:colOff>297147</xdr:colOff>
      <xdr:row>4</xdr:row>
      <xdr:rowOff>141816</xdr:rowOff>
    </xdr:to>
    <xdr:pic>
      <xdr:nvPicPr>
        <xdr:cNvPr id="9" name="Image 8">
          <a:extLst>
            <a:ext uri="{FF2B5EF4-FFF2-40B4-BE49-F238E27FC236}">
              <a16:creationId xmlns:a16="http://schemas.microsoft.com/office/drawing/2014/main" id="{9F8011D7-B399-4DEF-99E8-7F1285AED306}"/>
            </a:ext>
          </a:extLst>
        </xdr:cNvPr>
        <xdr:cNvPicPr/>
      </xdr:nvPicPr>
      <xdr:blipFill>
        <a:blip xmlns:r="http://schemas.openxmlformats.org/officeDocument/2006/relationships" r:embed="rId5"/>
        <a:stretch>
          <a:fillRect/>
        </a:stretch>
      </xdr:blipFill>
      <xdr:spPr>
        <a:xfrm>
          <a:off x="14467416" y="0"/>
          <a:ext cx="985064" cy="1185333"/>
        </a:xfrm>
        <a:prstGeom prst="rect">
          <a:avLst/>
        </a:prstGeom>
      </xdr:spPr>
    </xdr:pic>
    <xdr:clientData/>
  </xdr:twoCellAnchor>
  <xdr:twoCellAnchor>
    <xdr:from>
      <xdr:col>10</xdr:col>
      <xdr:colOff>391584</xdr:colOff>
      <xdr:row>27</xdr:row>
      <xdr:rowOff>222251</xdr:rowOff>
    </xdr:from>
    <xdr:to>
      <xdr:col>10</xdr:col>
      <xdr:colOff>1873251</xdr:colOff>
      <xdr:row>35</xdr:row>
      <xdr:rowOff>127001</xdr:rowOff>
    </xdr:to>
    <xdr:sp macro="" textlink="">
      <xdr:nvSpPr>
        <xdr:cNvPr id="2" name="Bulle narrative : rectangle à coins arrondis 1">
          <a:extLst>
            <a:ext uri="{FF2B5EF4-FFF2-40B4-BE49-F238E27FC236}">
              <a16:creationId xmlns:a16="http://schemas.microsoft.com/office/drawing/2014/main" id="{0159FA13-6952-4076-8EB1-2DA8E615576F}"/>
            </a:ext>
          </a:extLst>
        </xdr:cNvPr>
        <xdr:cNvSpPr/>
      </xdr:nvSpPr>
      <xdr:spPr>
        <a:xfrm>
          <a:off x="9916584" y="5990168"/>
          <a:ext cx="1481667" cy="1714500"/>
        </a:xfrm>
        <a:prstGeom prst="wedgeRoundRectCallout">
          <a:avLst>
            <a:gd name="adj1" fmla="val -18691"/>
            <a:gd name="adj2" fmla="val -77273"/>
            <a:gd name="adj3" fmla="val 16667"/>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fr-FR" sz="900"/>
            <a:t>Pour que la simulation ait du sens,</a:t>
          </a:r>
          <a:r>
            <a:rPr lang="fr-FR" sz="900" baseline="0"/>
            <a:t> il faut que les scénarios mobilisés sur le site d'élevage (les animaux étant mentionnés comme  présents) soient engagés </a:t>
          </a:r>
          <a:r>
            <a:rPr lang="fr-FR" sz="900" b="1" u="sng" baseline="0"/>
            <a:t>sur le même profil de méthanisation/mode de gestion des effluents</a:t>
          </a:r>
          <a:r>
            <a:rPr lang="fr-FR" sz="900" u="sng" baseline="0"/>
            <a:t>.  </a:t>
          </a:r>
          <a:endParaRPr lang="fr-FR" sz="900" u="sng"/>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AD%20cot&#233;%20volaille%20V1_V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économiques "/>
      <sheetName val="Données environnement"/>
      <sheetName val="Scénarios OAD"/>
      <sheetName val="CalculRéférenceUnitaireRuminant"/>
      <sheetName val=" CalculRéférenceUnitaireporcs"/>
      <sheetName val="CalculVérificationThomas"/>
      <sheetName val="CalculRéférencesUnitaireVolail"/>
      <sheetName val="Correspondance taille d'élevage"/>
      <sheetName val="Calculs éco. volaille"/>
      <sheetName val="Calculs éco. porc"/>
      <sheetName val="Calculs éco. ruminants"/>
      <sheetName val="AideALaDécisionScénariosPorcs"/>
      <sheetName val="Données Production "/>
      <sheetName val="ScénarioA_Echéance 2030"/>
      <sheetName val="ScénarioA_Echéance 2040"/>
      <sheetName val="ScénarioA_Echéance 2050"/>
      <sheetName val="ScénarioB_Echéance 2030"/>
      <sheetName val="ScénarioB_Echéance 2040"/>
      <sheetName val="ScénarioB_Echéance 2050"/>
      <sheetName val="ScénarioC_Echéance 2030"/>
      <sheetName val="ScénarioC_Echéance 2040"/>
      <sheetName val="ScénarioC_Echéance 2050"/>
      <sheetName val="CalculRuminant"/>
      <sheetName val="Résultats éco. ruminants"/>
      <sheetName val="Résultats éco volailles"/>
      <sheetName val="Résultats env. porc"/>
      <sheetName val="ExplicationDifférencesPorcs"/>
      <sheetName val="Situation initiale 2020"/>
      <sheetName val="Résultats env. ruminants"/>
      <sheetName val="Résultats env. volaille"/>
      <sheetName val="Résultats éco porc"/>
      <sheetName val="Résultats nrj ruminants"/>
      <sheetName val="Résultats nrj volaille"/>
      <sheetName val="Résultats nrj. porc"/>
      <sheetName val="Synthèse multifilière env"/>
      <sheetName val="Feuil6"/>
      <sheetName val="Feuil7"/>
      <sheetName val="Feuil8"/>
      <sheetName val="SynthèseEco"/>
      <sheetName val="Synthèse multifilière nrj"/>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M9">
            <v>2145732.4840764333</v>
          </cell>
          <cell r="N9">
            <v>12544062.5</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20E44-2A2B-4F36-A117-5F774731568D}">
  <sheetPr>
    <tabColor rgb="FF92D050"/>
  </sheetPr>
  <dimension ref="A1:BQ61"/>
  <sheetViews>
    <sheetView showGridLines="0" tabSelected="1" zoomScale="80" zoomScaleNormal="80" workbookViewId="0">
      <selection activeCell="N26" sqref="N26"/>
    </sheetView>
  </sheetViews>
  <sheetFormatPr baseColWidth="10" defaultColWidth="11.453125" defaultRowHeight="14.5" x14ac:dyDescent="0.35"/>
  <cols>
    <col min="1" max="1" width="3" customWidth="1"/>
    <col min="3" max="3" width="17.54296875" customWidth="1"/>
    <col min="4" max="4" width="33.7265625" customWidth="1"/>
    <col min="5" max="5" width="12" customWidth="1"/>
    <col min="6" max="6" width="3" customWidth="1"/>
    <col min="7" max="7" width="9.453125" customWidth="1"/>
    <col min="8" max="8" width="10.1796875" customWidth="1"/>
    <col min="9" max="9" width="3.26953125" customWidth="1"/>
    <col min="10" max="10" width="39.1796875" customWidth="1"/>
    <col min="11" max="11" width="29.81640625" customWidth="1"/>
    <col min="12" max="12" width="5.81640625" customWidth="1"/>
    <col min="13" max="13" width="37.26953125" customWidth="1"/>
    <col min="16" max="54" width="6" style="225" customWidth="1"/>
    <col min="55" max="55" width="6" style="226" customWidth="1"/>
    <col min="56" max="58" width="11.453125" style="226"/>
    <col min="59" max="59" width="12.81640625" style="226" customWidth="1"/>
    <col min="60" max="60" width="10.453125" style="226" customWidth="1"/>
    <col min="61" max="67" width="11.453125" style="226"/>
    <col min="68" max="69" width="11.453125" style="225"/>
  </cols>
  <sheetData>
    <row r="1" spans="1:69" ht="30.5" x14ac:dyDescent="0.65">
      <c r="A1" s="252"/>
      <c r="B1" s="253" t="s">
        <v>620</v>
      </c>
      <c r="C1" s="254"/>
      <c r="D1" s="254"/>
      <c r="E1" s="254"/>
      <c r="F1" s="254"/>
      <c r="G1" s="254"/>
      <c r="H1" s="254"/>
      <c r="I1" s="254"/>
      <c r="J1" s="254"/>
      <c r="K1" s="254"/>
      <c r="L1" s="252"/>
      <c r="M1" s="252"/>
      <c r="N1" s="252"/>
      <c r="O1" s="252"/>
      <c r="P1" s="255"/>
      <c r="Q1" s="255"/>
    </row>
    <row r="2" spans="1:69" s="201" customFormat="1" ht="26" x14ac:dyDescent="0.6">
      <c r="A2" s="256"/>
      <c r="B2" s="253" t="s">
        <v>938</v>
      </c>
      <c r="C2" s="256"/>
      <c r="D2" s="256"/>
      <c r="E2" s="256"/>
      <c r="F2" s="256"/>
      <c r="G2" s="256"/>
      <c r="H2" s="256"/>
      <c r="I2" s="256"/>
      <c r="J2" s="256"/>
      <c r="K2" s="256"/>
      <c r="L2" s="256"/>
      <c r="M2" s="256"/>
      <c r="N2" s="256"/>
      <c r="O2" s="256"/>
      <c r="P2" s="257"/>
      <c r="Q2" s="257"/>
      <c r="R2" s="227"/>
      <c r="S2" s="227"/>
      <c r="T2" s="227"/>
      <c r="U2" s="227"/>
      <c r="V2" s="227"/>
      <c r="W2" s="227"/>
      <c r="X2" s="227"/>
      <c r="Y2" s="227"/>
      <c r="Z2" s="227"/>
      <c r="AA2" s="227"/>
      <c r="AB2" s="227"/>
      <c r="AC2" s="227"/>
      <c r="AD2" s="227"/>
      <c r="AE2" s="227"/>
      <c r="AF2" s="227"/>
      <c r="AG2" s="227"/>
      <c r="AH2" s="227"/>
      <c r="AI2" s="227"/>
      <c r="AJ2" s="227"/>
      <c r="AK2" s="227"/>
      <c r="AL2" s="227"/>
      <c r="AM2" s="227"/>
      <c r="AN2" s="227"/>
      <c r="AO2" s="227"/>
      <c r="AP2" s="227"/>
      <c r="AQ2" s="227"/>
      <c r="AR2" s="227"/>
      <c r="AS2" s="227"/>
      <c r="AT2" s="227"/>
      <c r="AU2" s="227"/>
      <c r="AV2" s="227"/>
      <c r="AW2" s="227"/>
      <c r="AX2" s="227"/>
      <c r="AY2" s="227"/>
      <c r="AZ2" s="227"/>
      <c r="BA2" s="227"/>
      <c r="BB2" s="227"/>
      <c r="BC2" s="228"/>
      <c r="BD2" s="228"/>
      <c r="BE2" s="228"/>
      <c r="BF2" s="228"/>
      <c r="BG2" s="228"/>
      <c r="BH2" s="228"/>
      <c r="BI2" s="228"/>
      <c r="BJ2" s="228"/>
      <c r="BK2" s="228"/>
      <c r="BL2" s="228"/>
      <c r="BM2" s="228"/>
      <c r="BN2" s="228"/>
      <c r="BO2" s="228"/>
      <c r="BP2" s="227"/>
      <c r="BQ2" s="227"/>
    </row>
    <row r="3" spans="1:69" s="201" customFormat="1" ht="13" x14ac:dyDescent="0.3">
      <c r="A3" s="257"/>
      <c r="B3" s="257"/>
      <c r="C3" s="257"/>
      <c r="D3" s="257"/>
      <c r="E3" s="257"/>
      <c r="F3" s="257"/>
      <c r="G3" s="257"/>
      <c r="H3" s="257"/>
      <c r="I3" s="257"/>
      <c r="J3" s="256"/>
      <c r="K3" s="256"/>
      <c r="L3" s="256"/>
      <c r="M3" s="256"/>
      <c r="N3" s="256"/>
      <c r="O3" s="256"/>
      <c r="P3" s="257"/>
      <c r="Q3" s="257"/>
      <c r="R3" s="227"/>
      <c r="S3" s="227"/>
      <c r="T3" s="22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8"/>
      <c r="BD3" s="228"/>
      <c r="BE3" s="228"/>
      <c r="BF3" s="228"/>
      <c r="BG3" s="228"/>
      <c r="BH3" s="228"/>
      <c r="BI3" s="228"/>
      <c r="BJ3" s="228"/>
      <c r="BK3" s="228"/>
      <c r="BL3" s="228"/>
      <c r="BM3" s="228"/>
      <c r="BN3" s="228"/>
      <c r="BO3" s="228"/>
      <c r="BP3" s="227"/>
      <c r="BQ3" s="227"/>
    </row>
    <row r="4" spans="1:69" s="201" customFormat="1" ht="13" x14ac:dyDescent="0.3">
      <c r="A4" s="257"/>
      <c r="B4" s="257"/>
      <c r="C4" s="257"/>
      <c r="D4" s="257"/>
      <c r="E4" s="257"/>
      <c r="F4" s="257"/>
      <c r="G4" s="257"/>
      <c r="H4" s="257"/>
      <c r="I4" s="257"/>
      <c r="J4" s="256"/>
      <c r="K4" s="256"/>
      <c r="L4" s="256"/>
      <c r="M4" s="256"/>
      <c r="N4" s="256"/>
      <c r="O4" s="256"/>
      <c r="P4" s="257"/>
      <c r="Q4" s="257"/>
      <c r="R4" s="227"/>
      <c r="S4" s="227"/>
      <c r="T4" s="227"/>
      <c r="U4" s="227"/>
      <c r="V4" s="227"/>
      <c r="W4" s="227"/>
      <c r="X4" s="227"/>
      <c r="Y4" s="227"/>
      <c r="Z4" s="227"/>
      <c r="AA4" s="227"/>
      <c r="AB4" s="227"/>
      <c r="AC4" s="227"/>
      <c r="AD4" s="227"/>
      <c r="AE4" s="227"/>
      <c r="AF4" s="227"/>
      <c r="AG4" s="227"/>
      <c r="AH4" s="227"/>
      <c r="AI4" s="227"/>
      <c r="AJ4" s="227"/>
      <c r="AK4" s="227"/>
      <c r="AL4" s="227"/>
      <c r="AM4" s="227"/>
      <c r="AN4" s="227"/>
      <c r="AO4" s="227"/>
      <c r="AP4" s="227"/>
      <c r="AQ4" s="227"/>
      <c r="AR4" s="227"/>
      <c r="AS4" s="227"/>
      <c r="AT4" s="227"/>
      <c r="AU4" s="227"/>
      <c r="AV4" s="227"/>
      <c r="AW4" s="227"/>
      <c r="AX4" s="227"/>
      <c r="AY4" s="227"/>
      <c r="AZ4" s="227"/>
      <c r="BA4" s="227"/>
      <c r="BB4" s="227"/>
      <c r="BC4" s="228"/>
      <c r="BD4" s="228"/>
      <c r="BE4" s="228"/>
      <c r="BF4" s="228"/>
      <c r="BG4" s="228"/>
      <c r="BH4" s="228"/>
      <c r="BI4" s="228"/>
      <c r="BJ4" s="228"/>
      <c r="BK4" s="228"/>
      <c r="BL4" s="228"/>
      <c r="BM4" s="228"/>
      <c r="BN4" s="228"/>
      <c r="BO4" s="228"/>
      <c r="BP4" s="227"/>
      <c r="BQ4" s="227"/>
    </row>
    <row r="5" spans="1:69" s="203" customFormat="1" ht="18.5" x14ac:dyDescent="0.45">
      <c r="A5" s="258"/>
      <c r="B5" s="259"/>
      <c r="C5" s="259"/>
      <c r="D5" s="260" t="s">
        <v>621</v>
      </c>
      <c r="E5" s="258"/>
      <c r="F5" s="258"/>
      <c r="G5" s="258"/>
      <c r="H5" s="258"/>
      <c r="I5" s="258"/>
      <c r="J5" s="261" t="s">
        <v>937</v>
      </c>
      <c r="K5" s="259"/>
      <c r="L5" s="259"/>
      <c r="M5" s="259"/>
      <c r="N5" s="259"/>
      <c r="O5" s="259"/>
      <c r="P5" s="258"/>
      <c r="Q5" s="258"/>
      <c r="R5" s="229"/>
      <c r="S5" s="229"/>
      <c r="T5" s="229"/>
      <c r="U5" s="229"/>
      <c r="V5" s="229"/>
      <c r="W5" s="229"/>
      <c r="X5" s="229"/>
      <c r="Y5" s="229"/>
      <c r="Z5" s="229"/>
      <c r="AA5" s="229"/>
      <c r="AB5" s="229"/>
      <c r="AC5" s="229"/>
      <c r="AD5" s="229"/>
      <c r="AE5" s="229"/>
      <c r="AF5" s="229"/>
      <c r="AG5" s="229"/>
      <c r="AH5" s="229"/>
      <c r="AI5" s="229"/>
      <c r="AJ5" s="229"/>
      <c r="AK5" s="229"/>
      <c r="AL5" s="229"/>
      <c r="AM5" s="229"/>
      <c r="AN5" s="229"/>
      <c r="AO5" s="229"/>
      <c r="AP5" s="229"/>
      <c r="AQ5" s="229"/>
      <c r="AR5" s="229"/>
      <c r="AS5" s="229"/>
      <c r="AT5" s="229"/>
      <c r="AU5" s="229"/>
      <c r="AV5" s="229"/>
      <c r="AW5" s="229"/>
      <c r="AX5" s="229"/>
      <c r="AY5" s="229"/>
      <c r="AZ5" s="229"/>
      <c r="BA5" s="229"/>
      <c r="BB5" s="229"/>
      <c r="BC5" s="230"/>
      <c r="BD5" s="230" t="s">
        <v>928</v>
      </c>
      <c r="BE5" s="230"/>
      <c r="BF5" s="230"/>
      <c r="BG5" s="230"/>
      <c r="BH5" s="230"/>
      <c r="BI5" s="230"/>
      <c r="BJ5" s="230"/>
      <c r="BK5" s="230"/>
      <c r="BL5" s="230"/>
      <c r="BM5" s="230"/>
      <c r="BN5" s="230"/>
      <c r="BO5" s="230"/>
      <c r="BP5" s="229"/>
      <c r="BQ5" s="229"/>
    </row>
    <row r="6" spans="1:69" s="202" customFormat="1" ht="13.5" thickBot="1" x14ac:dyDescent="0.35">
      <c r="A6" s="251"/>
      <c r="B6" s="251"/>
      <c r="C6" s="251"/>
      <c r="D6" s="251"/>
      <c r="E6" s="251"/>
      <c r="F6" s="251"/>
      <c r="G6" s="251"/>
      <c r="H6" s="251"/>
      <c r="I6" s="251"/>
      <c r="J6" s="251"/>
      <c r="K6" s="251"/>
      <c r="L6" s="251"/>
      <c r="M6" s="251"/>
      <c r="N6" s="251"/>
      <c r="O6" s="251"/>
      <c r="P6" s="251"/>
      <c r="Q6" s="251"/>
      <c r="R6" s="231"/>
      <c r="S6" s="231"/>
      <c r="T6" s="231"/>
      <c r="U6" s="231"/>
      <c r="V6" s="231"/>
      <c r="W6" s="231"/>
      <c r="X6" s="231"/>
      <c r="Y6" s="231"/>
      <c r="Z6" s="231"/>
      <c r="AA6" s="231"/>
      <c r="AB6" s="231"/>
      <c r="AC6" s="231"/>
      <c r="AD6" s="231"/>
      <c r="AE6" s="231"/>
      <c r="AF6" s="231"/>
      <c r="AG6" s="231"/>
      <c r="AH6" s="231"/>
      <c r="AI6" s="231"/>
      <c r="AJ6" s="231"/>
      <c r="AK6" s="231"/>
      <c r="AL6" s="231"/>
      <c r="AM6" s="231"/>
      <c r="AN6" s="231"/>
      <c r="AO6" s="231"/>
      <c r="AP6" s="231"/>
      <c r="AQ6" s="231"/>
      <c r="AR6" s="231"/>
      <c r="AS6" s="231"/>
      <c r="AT6" s="231"/>
      <c r="AU6" s="231"/>
      <c r="AV6" s="231"/>
      <c r="AW6" s="231"/>
      <c r="AX6" s="231"/>
      <c r="AY6" s="231"/>
      <c r="AZ6" s="231"/>
      <c r="BA6" s="231"/>
      <c r="BB6" s="231"/>
      <c r="BC6" s="232"/>
      <c r="BD6" s="232"/>
      <c r="BE6" s="232"/>
      <c r="BF6" s="232"/>
      <c r="BG6" s="232"/>
      <c r="BH6" s="232"/>
      <c r="BI6" s="232"/>
      <c r="BJ6" s="232"/>
      <c r="BK6" s="232"/>
      <c r="BL6" s="232"/>
      <c r="BM6" s="232"/>
      <c r="BN6" s="232"/>
      <c r="BO6" s="232"/>
      <c r="BP6" s="231"/>
      <c r="BQ6" s="231"/>
    </row>
    <row r="7" spans="1:69" s="202" customFormat="1" ht="16" x14ac:dyDescent="0.4">
      <c r="A7" s="251"/>
      <c r="B7" s="262"/>
      <c r="C7" s="263"/>
      <c r="D7" s="264" t="s">
        <v>929</v>
      </c>
      <c r="E7" s="263"/>
      <c r="F7" s="263"/>
      <c r="G7" s="265" t="s">
        <v>622</v>
      </c>
      <c r="H7" s="263"/>
      <c r="I7" s="263"/>
      <c r="J7" s="266" t="s">
        <v>930</v>
      </c>
      <c r="K7" s="267"/>
      <c r="L7" s="251"/>
      <c r="M7" s="268" t="s">
        <v>630</v>
      </c>
      <c r="N7" s="269"/>
      <c r="O7" s="267"/>
      <c r="P7" s="251"/>
      <c r="Q7" s="251"/>
      <c r="R7" s="231"/>
      <c r="S7" s="231"/>
      <c r="T7" s="231"/>
      <c r="U7" s="231"/>
      <c r="V7" s="231"/>
      <c r="W7" s="231"/>
      <c r="X7" s="231"/>
      <c r="Y7" s="231"/>
      <c r="Z7" s="231"/>
      <c r="AA7" s="231"/>
      <c r="AB7" s="231"/>
      <c r="AC7" s="231"/>
      <c r="AD7" s="231"/>
      <c r="AE7" s="231"/>
      <c r="AF7" s="231"/>
      <c r="AG7" s="231"/>
      <c r="AH7" s="231"/>
      <c r="AI7" s="231"/>
      <c r="AJ7" s="231"/>
      <c r="AK7" s="231"/>
      <c r="AL7" s="231"/>
      <c r="AM7" s="231"/>
      <c r="AN7" s="231"/>
      <c r="AO7" s="231"/>
      <c r="AP7" s="231"/>
      <c r="AQ7" s="231"/>
      <c r="AR7" s="231"/>
      <c r="AS7" s="231"/>
      <c r="AT7" s="231"/>
      <c r="AU7" s="231"/>
      <c r="AV7" s="231"/>
      <c r="AW7" s="231"/>
      <c r="AX7" s="231"/>
      <c r="AY7" s="231"/>
      <c r="AZ7" s="231"/>
      <c r="BA7" s="231"/>
      <c r="BB7" s="231"/>
      <c r="BC7" s="232"/>
      <c r="BD7" s="232"/>
      <c r="BE7" s="232"/>
      <c r="BF7" s="232"/>
      <c r="BG7" s="232"/>
      <c r="BH7" s="232"/>
      <c r="BI7" s="233" t="s">
        <v>623</v>
      </c>
      <c r="BJ7" s="232"/>
      <c r="BK7" s="232"/>
      <c r="BL7" s="232"/>
      <c r="BM7" s="232"/>
      <c r="BN7" s="232"/>
      <c r="BO7" s="232"/>
      <c r="BP7" s="231"/>
      <c r="BQ7" s="231"/>
    </row>
    <row r="8" spans="1:69" s="202" customFormat="1" ht="36.75" customHeight="1" thickBot="1" x14ac:dyDescent="0.35">
      <c r="A8" s="251"/>
      <c r="B8" s="270"/>
      <c r="C8" s="271" t="s">
        <v>624</v>
      </c>
      <c r="D8" s="271" t="s">
        <v>625</v>
      </c>
      <c r="E8" s="272" t="s">
        <v>626</v>
      </c>
      <c r="F8" s="273"/>
      <c r="G8" s="271" t="s">
        <v>627</v>
      </c>
      <c r="H8" s="271" t="s">
        <v>628</v>
      </c>
      <c r="I8" s="271"/>
      <c r="J8" s="271" t="s">
        <v>919</v>
      </c>
      <c r="K8" s="274" t="s">
        <v>629</v>
      </c>
      <c r="L8" s="251"/>
      <c r="M8" s="275" t="s">
        <v>637</v>
      </c>
      <c r="N8" s="276"/>
      <c r="O8" s="277"/>
      <c r="P8" s="251"/>
      <c r="Q8" s="251"/>
      <c r="R8" s="231"/>
      <c r="S8" s="231"/>
      <c r="T8" s="231"/>
      <c r="U8" s="231"/>
      <c r="V8" s="231"/>
      <c r="W8" s="231"/>
      <c r="X8" s="231"/>
      <c r="Y8" s="231"/>
      <c r="Z8" s="231"/>
      <c r="AA8" s="231"/>
      <c r="AB8" s="231"/>
      <c r="AC8" s="231"/>
      <c r="AD8" s="231"/>
      <c r="AE8" s="231"/>
      <c r="AF8" s="231"/>
      <c r="AG8" s="231"/>
      <c r="AH8" s="231"/>
      <c r="AI8" s="231"/>
      <c r="AJ8" s="231"/>
      <c r="AK8" s="231"/>
      <c r="AL8" s="231"/>
      <c r="AM8" s="231"/>
      <c r="AN8" s="231"/>
      <c r="AO8" s="231"/>
      <c r="AP8" s="231"/>
      <c r="AQ8" s="231"/>
      <c r="AR8" s="231"/>
      <c r="AS8" s="231"/>
      <c r="AT8" s="231"/>
      <c r="AU8" s="231"/>
      <c r="AV8" s="231"/>
      <c r="AW8" s="231"/>
      <c r="AX8" s="231"/>
      <c r="AY8" s="231"/>
      <c r="AZ8" s="231"/>
      <c r="BA8" s="231"/>
      <c r="BB8" s="231"/>
      <c r="BC8" s="232"/>
      <c r="BD8" s="234" t="s">
        <v>631</v>
      </c>
      <c r="BE8" s="234" t="s">
        <v>632</v>
      </c>
      <c r="BF8" s="234" t="s">
        <v>308</v>
      </c>
      <c r="BG8" s="234" t="s">
        <v>633</v>
      </c>
      <c r="BH8" s="232"/>
      <c r="BI8" s="235" t="s">
        <v>634</v>
      </c>
      <c r="BJ8" s="232"/>
      <c r="BK8" s="232"/>
      <c r="BL8" s="232"/>
      <c r="BM8" s="232"/>
      <c r="BN8" s="232"/>
      <c r="BO8" s="232"/>
      <c r="BP8" s="231"/>
      <c r="BQ8" s="231"/>
    </row>
    <row r="9" spans="1:69" s="202" customFormat="1" x14ac:dyDescent="0.35">
      <c r="A9" s="251"/>
      <c r="B9" s="278" t="s">
        <v>18</v>
      </c>
      <c r="C9" s="279" t="s">
        <v>635</v>
      </c>
      <c r="D9" s="279" t="s">
        <v>24</v>
      </c>
      <c r="E9" s="245"/>
      <c r="F9" s="263"/>
      <c r="G9" s="280">
        <f>'Calcul simpl bovin'!AV12/1000*'OAD coût CO2 épargné'!E9</f>
        <v>0</v>
      </c>
      <c r="H9" s="280">
        <f>IF(K9="Métha. psychrophile + chaudière", 'Calcul simpl bovin'!AV13/1000*'OAD coût CO2 épargné'!E9, IF(K9="Métha. mésophile + cogé.", 'Calcul simpl bovin'!AV14/1000*'OAD coût CO2 épargné'!E9, ""))</f>
        <v>0</v>
      </c>
      <c r="I9" s="281"/>
      <c r="J9" s="340" t="s">
        <v>925</v>
      </c>
      <c r="K9" s="246" t="s">
        <v>636</v>
      </c>
      <c r="L9" s="251"/>
      <c r="M9" s="282" t="s">
        <v>0</v>
      </c>
      <c r="N9" s="283">
        <f>-0.0002*(BD28)^2+8.7*BD28+67875</f>
        <v>112992.110808</v>
      </c>
      <c r="O9" s="284" t="s">
        <v>640</v>
      </c>
      <c r="P9" s="251"/>
      <c r="Q9" s="251"/>
      <c r="R9" s="231"/>
      <c r="S9" s="231"/>
      <c r="T9" s="231"/>
      <c r="U9" s="231"/>
      <c r="V9" s="231"/>
      <c r="W9" s="231"/>
      <c r="X9" s="231"/>
      <c r="Y9" s="231"/>
      <c r="Z9" s="231"/>
      <c r="AA9" s="231"/>
      <c r="AB9" s="231"/>
      <c r="AC9" s="231"/>
      <c r="AD9" s="231"/>
      <c r="AE9" s="231"/>
      <c r="AF9" s="231"/>
      <c r="AG9" s="231"/>
      <c r="AH9" s="231"/>
      <c r="AI9" s="231"/>
      <c r="AJ9" s="231"/>
      <c r="AK9" s="231"/>
      <c r="AL9" s="231"/>
      <c r="AM9" s="231"/>
      <c r="AN9" s="231"/>
      <c r="AO9" s="231"/>
      <c r="AP9" s="231"/>
      <c r="AQ9" s="231"/>
      <c r="AR9" s="231"/>
      <c r="AS9" s="231"/>
      <c r="AT9" s="231"/>
      <c r="AU9" s="231"/>
      <c r="AV9" s="231"/>
      <c r="AW9" s="231"/>
      <c r="AX9" s="231"/>
      <c r="AY9" s="231"/>
      <c r="AZ9" s="231"/>
      <c r="BA9" s="231"/>
      <c r="BB9" s="231"/>
      <c r="BC9" s="232"/>
      <c r="BD9" s="236">
        <f>0.06*365*E9</f>
        <v>0</v>
      </c>
      <c r="BE9" s="232">
        <v>7.8E-2</v>
      </c>
      <c r="BF9" s="232">
        <v>234</v>
      </c>
      <c r="BG9" s="236">
        <f>BD9*BE9*BF9*9.95*'Données Production '!$B$30</f>
        <v>0</v>
      </c>
      <c r="BH9" s="232"/>
      <c r="BI9" s="237" t="s">
        <v>18</v>
      </c>
      <c r="BJ9" s="237" t="s">
        <v>19</v>
      </c>
      <c r="BK9" s="237" t="s">
        <v>20</v>
      </c>
      <c r="BL9" s="237" t="s">
        <v>21</v>
      </c>
      <c r="BM9" s="237" t="s">
        <v>22</v>
      </c>
      <c r="BN9" s="232"/>
      <c r="BO9" s="232"/>
      <c r="BP9" s="231"/>
      <c r="BQ9" s="231"/>
    </row>
    <row r="10" spans="1:69" s="202" customFormat="1" x14ac:dyDescent="0.35">
      <c r="A10" s="251"/>
      <c r="B10" s="285"/>
      <c r="C10" s="286" t="s">
        <v>635</v>
      </c>
      <c r="D10" s="286" t="s">
        <v>638</v>
      </c>
      <c r="E10" s="247"/>
      <c r="F10" s="251"/>
      <c r="G10" s="283">
        <f>'Calcul simpl bovin'!AV15/1000*'OAD coût CO2 épargné'!E10</f>
        <v>0</v>
      </c>
      <c r="H10" s="283">
        <f>IF(K10="Métha. mésophile + cogé.", 'Calcul simpl bovin'!AV16/1000*'OAD coût CO2 épargné'!E10, IF(K10="Méthanisation collective", 'Calcul simpl bovin'!AV17/1000*'OAD coût CO2 épargné'!E10, ""))</f>
        <v>0</v>
      </c>
      <c r="I10" s="287"/>
      <c r="J10" s="341"/>
      <c r="K10" s="248" t="s">
        <v>35</v>
      </c>
      <c r="L10" s="251"/>
      <c r="M10" s="282" t="s">
        <v>643</v>
      </c>
      <c r="N10" s="283">
        <f>0.125*BD28+2250</f>
        <v>3002.3249999999998</v>
      </c>
      <c r="O10" s="284" t="s">
        <v>8</v>
      </c>
      <c r="P10" s="251"/>
      <c r="Q10" s="251"/>
      <c r="R10" s="231"/>
      <c r="S10" s="231"/>
      <c r="T10" s="231"/>
      <c r="U10" s="231"/>
      <c r="V10" s="231"/>
      <c r="W10" s="231"/>
      <c r="X10" s="231"/>
      <c r="Y10" s="231"/>
      <c r="Z10" s="231"/>
      <c r="AA10" s="231"/>
      <c r="AB10" s="231"/>
      <c r="AC10" s="231"/>
      <c r="AD10" s="231"/>
      <c r="AE10" s="231"/>
      <c r="AF10" s="231"/>
      <c r="AG10" s="231"/>
      <c r="AH10" s="231"/>
      <c r="AI10" s="231"/>
      <c r="AJ10" s="231"/>
      <c r="AK10" s="231"/>
      <c r="AL10" s="231"/>
      <c r="AM10" s="231"/>
      <c r="AN10" s="231"/>
      <c r="AO10" s="231"/>
      <c r="AP10" s="231"/>
      <c r="AQ10" s="231"/>
      <c r="AR10" s="231"/>
      <c r="AS10" s="231"/>
      <c r="AT10" s="231"/>
      <c r="AU10" s="231"/>
      <c r="AV10" s="231"/>
      <c r="AW10" s="231"/>
      <c r="AX10" s="231"/>
      <c r="AY10" s="231"/>
      <c r="AZ10" s="231"/>
      <c r="BA10" s="231"/>
      <c r="BB10" s="231"/>
      <c r="BC10" s="232"/>
      <c r="BD10" s="236"/>
      <c r="BE10" s="232">
        <v>0.14399999999999999</v>
      </c>
      <c r="BF10" s="232">
        <v>273</v>
      </c>
      <c r="BG10" s="236">
        <f>BD10*BE10*BF10*9.95*'Données Production '!$B$30</f>
        <v>0</v>
      </c>
      <c r="BH10" s="232"/>
      <c r="BI10" s="226"/>
      <c r="BJ10" s="226" t="s">
        <v>23</v>
      </c>
      <c r="BK10" s="226" t="s">
        <v>24</v>
      </c>
      <c r="BL10" s="226" t="s">
        <v>25</v>
      </c>
      <c r="BM10" s="238" t="s">
        <v>26</v>
      </c>
      <c r="BN10" s="232"/>
      <c r="BO10" s="232"/>
      <c r="BP10" s="231"/>
      <c r="BQ10" s="231"/>
    </row>
    <row r="11" spans="1:69" s="202" customFormat="1" x14ac:dyDescent="0.35">
      <c r="A11" s="251"/>
      <c r="B11" s="285"/>
      <c r="C11" s="286" t="s">
        <v>635</v>
      </c>
      <c r="D11" s="286" t="s">
        <v>641</v>
      </c>
      <c r="E11" s="247"/>
      <c r="F11" s="251"/>
      <c r="G11" s="283">
        <f>'Calcul simpl bovin'!AV18/1000*'OAD coût CO2 épargné'!E11</f>
        <v>0</v>
      </c>
      <c r="H11" s="283">
        <f>'Calcul simpl bovin'!AV19/1000*'OAD coût CO2 épargné'!E11</f>
        <v>0</v>
      </c>
      <c r="I11" s="287"/>
      <c r="J11" s="288" t="s">
        <v>642</v>
      </c>
      <c r="K11" s="289" t="s">
        <v>35</v>
      </c>
      <c r="L11" s="251"/>
      <c r="M11" s="275" t="s">
        <v>644</v>
      </c>
      <c r="N11" s="276"/>
      <c r="O11" s="277"/>
      <c r="P11" s="251"/>
      <c r="Q11" s="251"/>
      <c r="R11" s="231"/>
      <c r="S11" s="231"/>
      <c r="T11" s="231"/>
      <c r="U11" s="231"/>
      <c r="V11" s="231"/>
      <c r="W11" s="231"/>
      <c r="X11" s="231"/>
      <c r="Y11" s="231"/>
      <c r="Z11" s="231"/>
      <c r="AA11" s="231"/>
      <c r="AB11" s="231"/>
      <c r="AC11" s="231"/>
      <c r="AD11" s="231"/>
      <c r="AE11" s="231"/>
      <c r="AF11" s="231"/>
      <c r="AG11" s="231"/>
      <c r="AH11" s="231"/>
      <c r="AI11" s="231"/>
      <c r="AJ11" s="231"/>
      <c r="AK11" s="231"/>
      <c r="AL11" s="231"/>
      <c r="AM11" s="231"/>
      <c r="AN11" s="231"/>
      <c r="AO11" s="231"/>
      <c r="AP11" s="231"/>
      <c r="AQ11" s="231"/>
      <c r="AR11" s="231"/>
      <c r="AS11" s="231"/>
      <c r="AT11" s="231"/>
      <c r="AU11" s="231"/>
      <c r="AV11" s="231"/>
      <c r="AW11" s="231"/>
      <c r="AX11" s="231"/>
      <c r="AY11" s="231"/>
      <c r="AZ11" s="231"/>
      <c r="BA11" s="231"/>
      <c r="BB11" s="231"/>
      <c r="BC11" s="232"/>
      <c r="BD11" s="236">
        <f>0.037*365*E11</f>
        <v>0</v>
      </c>
      <c r="BE11" s="232">
        <v>0.21199999999999999</v>
      </c>
      <c r="BF11" s="232">
        <v>151</v>
      </c>
      <c r="BG11" s="236">
        <f>BD11*BE11*BF11*9.95*'Données Production '!$B$30</f>
        <v>0</v>
      </c>
      <c r="BH11" s="232"/>
      <c r="BI11" s="226"/>
      <c r="BJ11" s="226" t="s">
        <v>23</v>
      </c>
      <c r="BK11" s="226" t="s">
        <v>27</v>
      </c>
      <c r="BL11" s="226" t="s">
        <v>636</v>
      </c>
      <c r="BM11" s="238" t="s">
        <v>29</v>
      </c>
      <c r="BN11" s="232"/>
      <c r="BO11" s="232"/>
      <c r="BP11" s="231"/>
      <c r="BQ11" s="231"/>
    </row>
    <row r="12" spans="1:69" s="202" customFormat="1" x14ac:dyDescent="0.35">
      <c r="A12" s="251"/>
      <c r="B12" s="285"/>
      <c r="C12" s="286" t="s">
        <v>42</v>
      </c>
      <c r="D12" s="286" t="s">
        <v>24</v>
      </c>
      <c r="E12" s="247"/>
      <c r="F12" s="251"/>
      <c r="G12" s="283">
        <f>'Calcul simpl bovin'!AV25/1000*'OAD coût CO2 épargné'!E12</f>
        <v>0</v>
      </c>
      <c r="H12" s="283">
        <f>IF(K12="Métha. psychrophile + chaudière", 'Calcul simpl bovin'!AV26/1000*'OAD coût CO2 épargné'!E12, IF(K12="Métha. mésophile + cogé.", 'Calcul simpl bovin'!AV27/1000*'OAD coût CO2 épargné'!E12, ""))</f>
        <v>0</v>
      </c>
      <c r="I12" s="287"/>
      <c r="J12" s="290" t="s">
        <v>27</v>
      </c>
      <c r="K12" s="248" t="s">
        <v>639</v>
      </c>
      <c r="L12" s="251"/>
      <c r="M12" s="282" t="s">
        <v>645</v>
      </c>
      <c r="N12" s="283">
        <f>BG29/8000*N16/100</f>
        <v>27.064672309186872</v>
      </c>
      <c r="O12" s="284" t="s">
        <v>646</v>
      </c>
      <c r="P12" s="251"/>
      <c r="Q12" s="251"/>
      <c r="R12" s="231"/>
      <c r="S12" s="231"/>
      <c r="T12" s="231"/>
      <c r="U12" s="231"/>
      <c r="V12" s="231"/>
      <c r="W12" s="231"/>
      <c r="X12" s="231"/>
      <c r="Y12" s="231"/>
      <c r="Z12" s="231"/>
      <c r="AA12" s="231"/>
      <c r="AB12" s="231"/>
      <c r="AC12" s="231"/>
      <c r="AD12" s="231"/>
      <c r="AE12" s="231"/>
      <c r="AF12" s="231"/>
      <c r="AG12" s="231"/>
      <c r="AH12" s="231"/>
      <c r="AI12" s="231"/>
      <c r="AJ12" s="231"/>
      <c r="AK12" s="231"/>
      <c r="AL12" s="231"/>
      <c r="AM12" s="231"/>
      <c r="AN12" s="231"/>
      <c r="AO12" s="231"/>
      <c r="AP12" s="231"/>
      <c r="AQ12" s="231"/>
      <c r="AR12" s="231"/>
      <c r="AS12" s="231"/>
      <c r="AT12" s="231"/>
      <c r="AU12" s="231"/>
      <c r="AV12" s="231"/>
      <c r="AW12" s="231"/>
      <c r="AX12" s="231"/>
      <c r="AY12" s="231"/>
      <c r="AZ12" s="231"/>
      <c r="BA12" s="231"/>
      <c r="BB12" s="231"/>
      <c r="BC12" s="232"/>
      <c r="BD12" s="236">
        <f>0.06*0.75*365*E12</f>
        <v>0</v>
      </c>
      <c r="BE12" s="232">
        <v>0.251</v>
      </c>
      <c r="BF12" s="232">
        <v>234</v>
      </c>
      <c r="BG12" s="236">
        <f>BD12*BE12*BF12*9.95*'Données Production '!$B$30</f>
        <v>0</v>
      </c>
      <c r="BH12" s="232"/>
      <c r="BI12" s="226"/>
      <c r="BJ12" s="226" t="s">
        <v>23</v>
      </c>
      <c r="BK12" s="226" t="s">
        <v>27</v>
      </c>
      <c r="BL12" s="226" t="s">
        <v>639</v>
      </c>
      <c r="BM12" s="238" t="s">
        <v>30</v>
      </c>
      <c r="BN12" s="232"/>
      <c r="BO12" s="232"/>
      <c r="BP12" s="231"/>
      <c r="BQ12" s="231"/>
    </row>
    <row r="13" spans="1:69" s="202" customFormat="1" x14ac:dyDescent="0.35">
      <c r="A13" s="251"/>
      <c r="B13" s="285"/>
      <c r="C13" s="286" t="s">
        <v>42</v>
      </c>
      <c r="D13" s="286" t="s">
        <v>638</v>
      </c>
      <c r="E13" s="247"/>
      <c r="F13" s="251"/>
      <c r="G13" s="283">
        <f>'Calcul simpl bovin'!AV28/1000*'OAD coût CO2 épargné'!E13</f>
        <v>0</v>
      </c>
      <c r="H13" s="283">
        <f>IF(K13="Métha. mésophile + cogé.", 'Calcul simpl bovin'!AV29/1000*'OAD coût CO2 épargné'!E13, IF(K13="Méthanisation collective", 'Calcul simpl bovin'!AV30/1000*'OAD coût CO2 épargné'!E13, ""))</f>
        <v>0</v>
      </c>
      <c r="I13" s="287"/>
      <c r="J13" s="290" t="s">
        <v>31</v>
      </c>
      <c r="K13" s="248" t="s">
        <v>35</v>
      </c>
      <c r="L13" s="251"/>
      <c r="M13" s="282" t="s">
        <v>0</v>
      </c>
      <c r="N13" s="283">
        <f>(0.7319*N12^2-156.72*N12+16957)*N12</f>
        <v>358648.5534468437</v>
      </c>
      <c r="O13" s="284" t="s">
        <v>640</v>
      </c>
      <c r="P13" s="251"/>
      <c r="Q13" s="251"/>
      <c r="R13" s="231"/>
      <c r="S13" s="231"/>
      <c r="T13" s="231"/>
      <c r="U13" s="231"/>
      <c r="V13" s="231"/>
      <c r="W13" s="231"/>
      <c r="X13" s="231"/>
      <c r="Y13" s="231"/>
      <c r="Z13" s="231"/>
      <c r="AA13" s="231"/>
      <c r="AB13" s="231"/>
      <c r="AC13" s="231"/>
      <c r="AD13" s="231"/>
      <c r="AE13" s="231"/>
      <c r="AF13" s="231"/>
      <c r="AG13" s="231"/>
      <c r="AH13" s="231"/>
      <c r="AI13" s="231"/>
      <c r="AJ13" s="231"/>
      <c r="AK13" s="231"/>
      <c r="AL13" s="231"/>
      <c r="AM13" s="231"/>
      <c r="AN13" s="231"/>
      <c r="AO13" s="231"/>
      <c r="AP13" s="231"/>
      <c r="AQ13" s="231"/>
      <c r="AR13" s="231"/>
      <c r="AS13" s="231"/>
      <c r="AT13" s="231"/>
      <c r="AU13" s="231"/>
      <c r="AV13" s="231"/>
      <c r="AW13" s="231"/>
      <c r="AX13" s="231"/>
      <c r="AY13" s="231"/>
      <c r="AZ13" s="231"/>
      <c r="BA13" s="231"/>
      <c r="BB13" s="231"/>
      <c r="BC13" s="232"/>
      <c r="BD13" s="236">
        <f>0.046*0.75*365*E13</f>
        <v>0</v>
      </c>
      <c r="BE13" s="232">
        <v>0.251</v>
      </c>
      <c r="BF13" s="232">
        <v>273</v>
      </c>
      <c r="BG13" s="236">
        <f>BD13*BE13*BF13*9.95*'Données Production '!$B$30</f>
        <v>0</v>
      </c>
      <c r="BH13" s="232"/>
      <c r="BI13" s="226"/>
      <c r="BJ13" s="226" t="s">
        <v>23</v>
      </c>
      <c r="BK13" s="226" t="s">
        <v>31</v>
      </c>
      <c r="BL13" s="226" t="s">
        <v>32</v>
      </c>
      <c r="BM13" s="238" t="s">
        <v>33</v>
      </c>
      <c r="BN13" s="232"/>
      <c r="BO13" s="232"/>
      <c r="BP13" s="231"/>
      <c r="BQ13" s="231"/>
    </row>
    <row r="14" spans="1:69" s="202" customFormat="1" x14ac:dyDescent="0.35">
      <c r="A14" s="251"/>
      <c r="B14" s="285"/>
      <c r="C14" s="286" t="s">
        <v>42</v>
      </c>
      <c r="D14" s="286" t="s">
        <v>647</v>
      </c>
      <c r="E14" s="247"/>
      <c r="F14" s="251"/>
      <c r="G14" s="283">
        <f>'Calcul simpl bovin'!AV31/1000*'OAD coût CO2 épargné'!E14</f>
        <v>0</v>
      </c>
      <c r="H14" s="283">
        <f>'Calcul simpl bovin'!AV32/1000*'OAD coût CO2 épargné'!E14</f>
        <v>0</v>
      </c>
      <c r="I14" s="287"/>
      <c r="J14" s="342" t="s">
        <v>642</v>
      </c>
      <c r="K14" s="344" t="s">
        <v>35</v>
      </c>
      <c r="L14" s="251"/>
      <c r="M14" s="282" t="s">
        <v>643</v>
      </c>
      <c r="N14" s="283">
        <f>BG29*N16/100*0.11</f>
        <v>23816.911632084444</v>
      </c>
      <c r="O14" s="284" t="s">
        <v>8</v>
      </c>
      <c r="P14" s="251"/>
      <c r="Q14" s="251"/>
      <c r="R14" s="231"/>
      <c r="S14" s="231"/>
      <c r="T14" s="231"/>
      <c r="U14" s="231"/>
      <c r="V14" s="231"/>
      <c r="W14" s="231"/>
      <c r="X14" s="231"/>
      <c r="Y14" s="231"/>
      <c r="Z14" s="231"/>
      <c r="AA14" s="231"/>
      <c r="AB14" s="231"/>
      <c r="AC14" s="231"/>
      <c r="AD14" s="231"/>
      <c r="AE14" s="231"/>
      <c r="AF14" s="231"/>
      <c r="AG14" s="231"/>
      <c r="AH14" s="231"/>
      <c r="AI14" s="231"/>
      <c r="AJ14" s="231"/>
      <c r="AK14" s="231"/>
      <c r="AL14" s="231"/>
      <c r="AM14" s="231"/>
      <c r="AN14" s="231"/>
      <c r="AO14" s="231"/>
      <c r="AP14" s="231"/>
      <c r="AQ14" s="231"/>
      <c r="AR14" s="231"/>
      <c r="AS14" s="231"/>
      <c r="AT14" s="231"/>
      <c r="AU14" s="231"/>
      <c r="AV14" s="231"/>
      <c r="AW14" s="231"/>
      <c r="AX14" s="231"/>
      <c r="AY14" s="231"/>
      <c r="AZ14" s="231"/>
      <c r="BA14" s="231"/>
      <c r="BB14" s="231"/>
      <c r="BC14" s="232"/>
      <c r="BD14" s="236"/>
      <c r="BE14" s="232"/>
      <c r="BF14" s="232">
        <v>163</v>
      </c>
      <c r="BG14" s="236">
        <f>BD14*BE14*BF14*9.95*'Données Production '!$B$30</f>
        <v>0</v>
      </c>
      <c r="BH14" s="232"/>
      <c r="BI14" s="226"/>
      <c r="BJ14" s="226" t="s">
        <v>23</v>
      </c>
      <c r="BK14" s="226" t="s">
        <v>31</v>
      </c>
      <c r="BL14" s="226" t="s">
        <v>639</v>
      </c>
      <c r="BM14" s="238" t="s">
        <v>34</v>
      </c>
      <c r="BN14" s="232"/>
      <c r="BO14" s="232"/>
      <c r="BP14" s="231"/>
      <c r="BQ14" s="231"/>
    </row>
    <row r="15" spans="1:69" s="202" customFormat="1" x14ac:dyDescent="0.35">
      <c r="A15" s="251"/>
      <c r="B15" s="285"/>
      <c r="C15" s="286" t="s">
        <v>648</v>
      </c>
      <c r="D15" s="286" t="s">
        <v>647</v>
      </c>
      <c r="E15" s="247"/>
      <c r="F15" s="251"/>
      <c r="G15" s="283">
        <f>'Calcul simpl bovin'!AV20/1000*'OAD coût CO2 épargné'!E15</f>
        <v>0</v>
      </c>
      <c r="H15" s="283">
        <f>'Calcul simpl bovin'!AV21/1000*'OAD coût CO2 épargné'!E15</f>
        <v>0</v>
      </c>
      <c r="I15" s="287"/>
      <c r="J15" s="341"/>
      <c r="K15" s="345"/>
      <c r="L15" s="251"/>
      <c r="M15" s="282" t="s">
        <v>657</v>
      </c>
      <c r="N15" s="249">
        <v>21</v>
      </c>
      <c r="O15" s="284" t="s">
        <v>658</v>
      </c>
      <c r="P15" s="251"/>
      <c r="Q15" s="251"/>
      <c r="R15" s="231"/>
      <c r="S15" s="231"/>
      <c r="T15" s="231"/>
      <c r="U15" s="231"/>
      <c r="V15" s="231"/>
      <c r="W15" s="231"/>
      <c r="X15" s="231"/>
      <c r="Y15" s="231"/>
      <c r="Z15" s="231"/>
      <c r="AA15" s="231"/>
      <c r="AB15" s="231"/>
      <c r="AC15" s="231"/>
      <c r="AD15" s="231"/>
      <c r="AE15" s="231"/>
      <c r="AF15" s="231"/>
      <c r="AG15" s="231"/>
      <c r="AH15" s="231"/>
      <c r="AI15" s="231"/>
      <c r="AJ15" s="231"/>
      <c r="AK15" s="231"/>
      <c r="AL15" s="231"/>
      <c r="AM15" s="231"/>
      <c r="AN15" s="231"/>
      <c r="AO15" s="231"/>
      <c r="AP15" s="231"/>
      <c r="AQ15" s="231"/>
      <c r="AR15" s="231"/>
      <c r="AS15" s="231"/>
      <c r="AT15" s="231"/>
      <c r="AU15" s="231"/>
      <c r="AV15" s="231"/>
      <c r="AW15" s="231"/>
      <c r="AX15" s="231"/>
      <c r="AY15" s="231"/>
      <c r="AZ15" s="231"/>
      <c r="BA15" s="231"/>
      <c r="BB15" s="231"/>
      <c r="BC15" s="232"/>
      <c r="BD15" s="236">
        <f>0.037*0.8*365*E15</f>
        <v>0</v>
      </c>
      <c r="BE15" s="232">
        <v>0.20799999999999999</v>
      </c>
      <c r="BF15" s="232">
        <v>189</v>
      </c>
      <c r="BG15" s="236">
        <f>BD15*BE15*BF15*9.95*'Données Production '!$B$30</f>
        <v>0</v>
      </c>
      <c r="BH15" s="232"/>
      <c r="BI15" s="226"/>
      <c r="BJ15" s="226" t="s">
        <v>23</v>
      </c>
      <c r="BK15" s="226" t="s">
        <v>31</v>
      </c>
      <c r="BL15" s="226" t="s">
        <v>35</v>
      </c>
      <c r="BM15" s="238" t="s">
        <v>36</v>
      </c>
      <c r="BN15" s="232"/>
      <c r="BO15" s="232"/>
      <c r="BP15" s="231"/>
      <c r="BQ15" s="231"/>
    </row>
    <row r="16" spans="1:69" s="202" customFormat="1" x14ac:dyDescent="0.35">
      <c r="A16" s="251"/>
      <c r="B16" s="285"/>
      <c r="C16" s="286" t="s">
        <v>649</v>
      </c>
      <c r="D16" s="286" t="s">
        <v>647</v>
      </c>
      <c r="E16" s="247"/>
      <c r="F16" s="251"/>
      <c r="G16" s="283">
        <f>'Calcul simpl bovin'!AV33/1000*'OAD coût CO2 épargné'!E16</f>
        <v>0</v>
      </c>
      <c r="H16" s="283">
        <f>'Calcul simpl bovin'!AV34/1000*'OAD coût CO2 épargné'!E16</f>
        <v>0</v>
      </c>
      <c r="I16" s="287"/>
      <c r="J16" s="341"/>
      <c r="K16" s="346"/>
      <c r="L16" s="251"/>
      <c r="M16" s="282" t="s">
        <v>936</v>
      </c>
      <c r="N16" s="247">
        <v>33</v>
      </c>
      <c r="O16" s="284" t="s">
        <v>146</v>
      </c>
      <c r="P16" s="251"/>
      <c r="Q16" s="251"/>
      <c r="R16" s="231"/>
      <c r="S16" s="231"/>
      <c r="T16" s="231"/>
      <c r="U16" s="231"/>
      <c r="V16" s="231"/>
      <c r="W16" s="231"/>
      <c r="X16" s="231"/>
      <c r="Y16" s="231"/>
      <c r="Z16" s="231"/>
      <c r="AA16" s="231"/>
      <c r="AB16" s="231"/>
      <c r="AC16" s="231"/>
      <c r="AD16" s="231"/>
      <c r="AE16" s="231"/>
      <c r="AF16" s="231"/>
      <c r="AG16" s="231"/>
      <c r="AH16" s="231"/>
      <c r="AI16" s="231"/>
      <c r="AJ16" s="231"/>
      <c r="AK16" s="231"/>
      <c r="AL16" s="231"/>
      <c r="AM16" s="231"/>
      <c r="AN16" s="231"/>
      <c r="AO16" s="231"/>
      <c r="AP16" s="231"/>
      <c r="AQ16" s="231"/>
      <c r="AR16" s="231"/>
      <c r="AS16" s="231"/>
      <c r="AT16" s="231"/>
      <c r="AU16" s="231"/>
      <c r="AV16" s="231"/>
      <c r="AW16" s="231"/>
      <c r="AX16" s="231"/>
      <c r="AY16" s="231"/>
      <c r="AZ16" s="231"/>
      <c r="BA16" s="231"/>
      <c r="BB16" s="231"/>
      <c r="BC16" s="232"/>
      <c r="BD16" s="236">
        <f>0.037*0.7*365*E16</f>
        <v>0</v>
      </c>
      <c r="BE16" s="232">
        <v>0.217</v>
      </c>
      <c r="BF16" s="232">
        <v>264</v>
      </c>
      <c r="BG16" s="236">
        <f>BD16*BE16*BF16*9.95*'Données Production '!$B$30</f>
        <v>0</v>
      </c>
      <c r="BH16" s="232"/>
      <c r="BI16" s="226"/>
      <c r="BJ16" s="226" t="s">
        <v>23</v>
      </c>
      <c r="BK16" s="226" t="s">
        <v>37</v>
      </c>
      <c r="BL16" s="226" t="s">
        <v>38</v>
      </c>
      <c r="BM16" s="238" t="s">
        <v>39</v>
      </c>
      <c r="BN16" s="232"/>
      <c r="BO16" s="232"/>
      <c r="BP16" s="231"/>
      <c r="BQ16" s="231"/>
    </row>
    <row r="17" spans="1:69" s="202" customFormat="1" x14ac:dyDescent="0.35">
      <c r="A17" s="251"/>
      <c r="B17" s="285"/>
      <c r="C17" s="286" t="s">
        <v>446</v>
      </c>
      <c r="D17" s="286" t="s">
        <v>59</v>
      </c>
      <c r="E17" s="247"/>
      <c r="F17" s="251"/>
      <c r="G17" s="283">
        <f>'Calcul simpl bovin'!AV22/1000*'OAD coût CO2 épargné'!E17</f>
        <v>0</v>
      </c>
      <c r="H17" s="283">
        <f>IF(K17="Métha. psychrophile + chaudière", 'Calcul simpl bovin'!AV23/1000*'OAD coût CO2 épargné'!E17, IF(K17="Métha. mésophile + cogé.", 'Calcul simpl bovin'!AV24/1000*'OAD coût CO2 épargné'!E17, ""))</f>
        <v>0</v>
      </c>
      <c r="I17" s="287"/>
      <c r="J17" s="288" t="s">
        <v>61</v>
      </c>
      <c r="K17" s="248" t="s">
        <v>639</v>
      </c>
      <c r="L17" s="251"/>
      <c r="M17" s="282" t="s">
        <v>660</v>
      </c>
      <c r="N17" s="291">
        <f>BG29*N16/100*N15/100</f>
        <v>45468.649479433938</v>
      </c>
      <c r="O17" s="292" t="s">
        <v>8</v>
      </c>
      <c r="P17" s="251"/>
      <c r="Q17" s="251"/>
      <c r="R17" s="231"/>
      <c r="S17" s="231"/>
      <c r="T17" s="231"/>
      <c r="U17" s="231"/>
      <c r="V17" s="231"/>
      <c r="W17" s="231"/>
      <c r="X17" s="231"/>
      <c r="Y17" s="231"/>
      <c r="Z17" s="231"/>
      <c r="AA17" s="231"/>
      <c r="AB17" s="231"/>
      <c r="AC17" s="231"/>
      <c r="AD17" s="231"/>
      <c r="AE17" s="231"/>
      <c r="AF17" s="231"/>
      <c r="AG17" s="231"/>
      <c r="AH17" s="231"/>
      <c r="AI17" s="231"/>
      <c r="AJ17" s="231"/>
      <c r="AK17" s="231"/>
      <c r="AL17" s="231"/>
      <c r="AM17" s="231"/>
      <c r="AN17" s="231"/>
      <c r="AO17" s="231"/>
      <c r="AP17" s="231"/>
      <c r="AQ17" s="231"/>
      <c r="AR17" s="231"/>
      <c r="AS17" s="231"/>
      <c r="AT17" s="231"/>
      <c r="AU17" s="231"/>
      <c r="AV17" s="231"/>
      <c r="AW17" s="231"/>
      <c r="AX17" s="231"/>
      <c r="AY17" s="231"/>
      <c r="AZ17" s="231"/>
      <c r="BA17" s="231"/>
      <c r="BB17" s="231"/>
      <c r="BC17" s="232"/>
      <c r="BD17" s="236">
        <f>0.001*365*E17</f>
        <v>0</v>
      </c>
      <c r="BE17" s="232">
        <v>0.66</v>
      </c>
      <c r="BF17" s="232">
        <v>463</v>
      </c>
      <c r="BG17" s="236">
        <f>BD17*BE17*BF17*9.95*'Données Production '!$B$30</f>
        <v>0</v>
      </c>
      <c r="BH17" s="232"/>
      <c r="BI17" s="226"/>
      <c r="BJ17" s="226" t="s">
        <v>23</v>
      </c>
      <c r="BK17" s="226" t="s">
        <v>40</v>
      </c>
      <c r="BL17" s="226" t="s">
        <v>35</v>
      </c>
      <c r="BM17" s="238" t="s">
        <v>41</v>
      </c>
      <c r="BN17" s="232"/>
      <c r="BO17" s="232"/>
      <c r="BP17" s="231"/>
      <c r="BQ17" s="231"/>
    </row>
    <row r="18" spans="1:69" s="202" customFormat="1" x14ac:dyDescent="0.35">
      <c r="A18" s="251"/>
      <c r="B18" s="293"/>
      <c r="C18" s="251"/>
      <c r="D18" s="251"/>
      <c r="E18" s="251"/>
      <c r="F18" s="251"/>
      <c r="G18" s="251"/>
      <c r="H18" s="251"/>
      <c r="I18" s="251"/>
      <c r="J18" s="251"/>
      <c r="K18" s="277"/>
      <c r="L18" s="251"/>
      <c r="M18" s="275" t="s">
        <v>931</v>
      </c>
      <c r="N18" s="276"/>
      <c r="O18" s="277"/>
      <c r="P18" s="251"/>
      <c r="Q18" s="25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2"/>
      <c r="BD18" s="232"/>
      <c r="BE18" s="232"/>
      <c r="BF18" s="232"/>
      <c r="BG18" s="236"/>
      <c r="BH18" s="232"/>
      <c r="BI18" s="226"/>
      <c r="BJ18" s="226" t="s">
        <v>42</v>
      </c>
      <c r="BK18" s="226" t="s">
        <v>24</v>
      </c>
      <c r="BL18" s="226" t="s">
        <v>25</v>
      </c>
      <c r="BM18" s="238" t="s">
        <v>43</v>
      </c>
      <c r="BN18" s="232"/>
      <c r="BO18" s="232"/>
      <c r="BP18" s="231"/>
      <c r="BQ18" s="231"/>
    </row>
    <row r="19" spans="1:69" s="202" customFormat="1" x14ac:dyDescent="0.35">
      <c r="A19" s="251"/>
      <c r="B19" s="285" t="s">
        <v>652</v>
      </c>
      <c r="C19" s="286" t="s">
        <v>573</v>
      </c>
      <c r="D19" s="286" t="s">
        <v>653</v>
      </c>
      <c r="E19" s="247">
        <v>2500</v>
      </c>
      <c r="F19" s="251"/>
      <c r="G19" s="283">
        <f>' Calcul simpl porc'!AN8/1000*E19</f>
        <v>859.27371289033147</v>
      </c>
      <c r="H19" s="283">
        <f>IF(J19="Pré_stockage_lisier_sous_caillebotis",IF(K19="Fosse non couverte", ' Calcul simpl porc'!AN8/1000*'OAD coût CO2 épargné'!E19, 0),0)+IF(J19="Pré_stockage_lisier_sous_caillebotis",IF(K19="Métha. psychrophile + chaudière", ' Calcul simpl porc'!AN9/1000*'OAD coût CO2 épargné'!E19, 0),0)+IF(J19="Pré_stockage_lisier_sous_caillebotis",IF(K19="Métha. mésophile + cogé.", ' Calcul simpl porc'!AN10/1000*'OAD coût CO2 épargné'!E19, 0),0) + IF(J19="Raclage_à_plat_quotidien",IF(K19="Métha. mésophile + cogé.", ' Calcul simpl porc'!AN11/1000*'OAD coût CO2 épargné'!E19, 0),0)+ IF(J19="Raclage_à_plat_quotidien",IF(K19="Métha. psychrophile + chaudière", ' Calcul simpl porc'!AN12/1000*'OAD coût CO2 épargné'!E19, 0),0)</f>
        <v>269.36296079546304</v>
      </c>
      <c r="I19" s="251"/>
      <c r="J19" s="247" t="s">
        <v>654</v>
      </c>
      <c r="K19" s="248" t="s">
        <v>636</v>
      </c>
      <c r="L19" s="251"/>
      <c r="M19" s="282" t="s">
        <v>0</v>
      </c>
      <c r="N19" s="283">
        <f>(E23/'Données Production '!H7+E24/'Données Production '!I7)*24.5</f>
        <v>0</v>
      </c>
      <c r="O19" s="284" t="s">
        <v>640</v>
      </c>
      <c r="P19" s="251"/>
      <c r="Q19" s="251"/>
      <c r="R19" s="231"/>
      <c r="S19" s="231"/>
      <c r="T19" s="231"/>
      <c r="U19" s="231"/>
      <c r="V19" s="231"/>
      <c r="W19" s="231"/>
      <c r="X19" s="231"/>
      <c r="Y19" s="231"/>
      <c r="Z19" s="231"/>
      <c r="AA19" s="231"/>
      <c r="AB19" s="231"/>
      <c r="AC19" s="231"/>
      <c r="AD19" s="231"/>
      <c r="AE19" s="231"/>
      <c r="AF19" s="231"/>
      <c r="AG19" s="231"/>
      <c r="AH19" s="231"/>
      <c r="AI19" s="231"/>
      <c r="AJ19" s="231"/>
      <c r="AK19" s="231"/>
      <c r="AL19" s="231"/>
      <c r="AM19" s="231"/>
      <c r="AN19" s="231"/>
      <c r="AO19" s="231"/>
      <c r="AP19" s="231"/>
      <c r="AQ19" s="231"/>
      <c r="AR19" s="231"/>
      <c r="AS19" s="231"/>
      <c r="AT19" s="231"/>
      <c r="AU19" s="231"/>
      <c r="AV19" s="231"/>
      <c r="AW19" s="231"/>
      <c r="AX19" s="231"/>
      <c r="AY19" s="231"/>
      <c r="AZ19" s="231"/>
      <c r="BA19" s="231"/>
      <c r="BB19" s="231"/>
      <c r="BC19" s="232"/>
      <c r="BD19" s="236">
        <f>E19*0.48*2.9</f>
        <v>3480</v>
      </c>
      <c r="BE19" s="232">
        <v>4.5900000000000003E-2</v>
      </c>
      <c r="BF19" s="232">
        <v>333</v>
      </c>
      <c r="BG19" s="236">
        <f>BD19*BE19*BF19*9.95*'Données Production '!$B$30</f>
        <v>529248.02220000001</v>
      </c>
      <c r="BH19" s="232"/>
      <c r="BI19" s="226"/>
      <c r="BJ19" s="226" t="s">
        <v>42</v>
      </c>
      <c r="BK19" s="226" t="s">
        <v>27</v>
      </c>
      <c r="BL19" s="226" t="s">
        <v>636</v>
      </c>
      <c r="BM19" s="238" t="s">
        <v>44</v>
      </c>
      <c r="BN19" s="232"/>
      <c r="BO19" s="232"/>
      <c r="BP19" s="231"/>
      <c r="BQ19" s="231"/>
    </row>
    <row r="20" spans="1:69" s="202" customFormat="1" x14ac:dyDescent="0.35">
      <c r="A20" s="251"/>
      <c r="B20" s="285"/>
      <c r="C20" s="286" t="s">
        <v>529</v>
      </c>
      <c r="D20" s="286" t="s">
        <v>653</v>
      </c>
      <c r="E20" s="247">
        <v>300</v>
      </c>
      <c r="F20" s="251"/>
      <c r="G20" s="283">
        <f>' Calcul simpl porc'!AN13/1000*E20</f>
        <v>138.08557685310504</v>
      </c>
      <c r="H20" s="283">
        <f>IF(J20="Pré_stockage_lisier_sous_caillebotis",IF(K20="Fosse non couverte", ' Calcul simpl porc'!AN13/1000*'OAD coût CO2 épargné'!E20, 0),0)+IF(J20="Pré_stockage_lisier_sous_caillebotis",IF(K20="Métha. psychrophile + chaudière", ' Calcul simpl porc'!AN14/1000*'OAD coût CO2 épargné'!E20, 0),0)+IF(J20="Pré_stockage_lisier_sous_caillebotis",IF(K20="Métha. mésophile + cogé.", ' Calcul simpl porc'!AN15/1000*'OAD coût CO2 épargné'!E20, 0),0) + IF(J20="Raclage_à_plat_quotidien",IF(K20="Métha. mésophile + cogé.", ' Calcul simpl porc'!AN17/1000*'OAD coût CO2 épargné'!E20, 0),0)+ IF(J20="Raclage_à_plat_quotidien",IF(K20="Métha. psychrophile + chaudière", ' Calcul simpl porc'!AN16/1000*'OAD coût CO2 épargné'!E20, 0),0)</f>
        <v>110.7118194504645</v>
      </c>
      <c r="I20" s="251"/>
      <c r="J20" s="247" t="s">
        <v>656</v>
      </c>
      <c r="K20" s="248" t="s">
        <v>636</v>
      </c>
      <c r="L20" s="251"/>
      <c r="M20" s="294"/>
      <c r="N20" s="276"/>
      <c r="O20" s="277"/>
      <c r="P20" s="251"/>
      <c r="Q20" s="251"/>
      <c r="R20" s="231"/>
      <c r="S20" s="231"/>
      <c r="T20" s="231"/>
      <c r="U20" s="231"/>
      <c r="V20" s="231"/>
      <c r="W20" s="231"/>
      <c r="X20" s="231"/>
      <c r="Y20" s="231"/>
      <c r="Z20" s="231"/>
      <c r="AA20" s="231"/>
      <c r="AB20" s="231"/>
      <c r="AC20" s="231"/>
      <c r="AD20" s="231"/>
      <c r="AE20" s="231"/>
      <c r="AF20" s="231"/>
      <c r="AG20" s="231"/>
      <c r="AH20" s="231"/>
      <c r="AI20" s="231"/>
      <c r="AJ20" s="231"/>
      <c r="AK20" s="231"/>
      <c r="AL20" s="231"/>
      <c r="AM20" s="231"/>
      <c r="AN20" s="231"/>
      <c r="AO20" s="231"/>
      <c r="AP20" s="231"/>
      <c r="AQ20" s="231"/>
      <c r="AR20" s="231"/>
      <c r="AS20" s="231"/>
      <c r="AT20" s="231"/>
      <c r="AU20" s="231"/>
      <c r="AV20" s="231"/>
      <c r="AW20" s="231"/>
      <c r="AX20" s="231"/>
      <c r="AY20" s="231"/>
      <c r="AZ20" s="231"/>
      <c r="BA20" s="231"/>
      <c r="BB20" s="231"/>
      <c r="BC20" s="232"/>
      <c r="BD20" s="236">
        <f>E20*6.2</f>
        <v>1860</v>
      </c>
      <c r="BE20" s="232">
        <v>1.17E-2</v>
      </c>
      <c r="BF20" s="232">
        <v>151</v>
      </c>
      <c r="BG20" s="236">
        <f>BD20*BE20*BF20*9.95*'Données Production '!$B$30</f>
        <v>32696.316899999998</v>
      </c>
      <c r="BH20" s="232"/>
      <c r="BI20" s="226"/>
      <c r="BJ20" s="226" t="s">
        <v>42</v>
      </c>
      <c r="BK20" s="226" t="s">
        <v>27</v>
      </c>
      <c r="BL20" s="226" t="s">
        <v>639</v>
      </c>
      <c r="BM20" s="238" t="s">
        <v>45</v>
      </c>
      <c r="BN20" s="232"/>
      <c r="BO20" s="232"/>
      <c r="BP20" s="231"/>
      <c r="BQ20" s="231"/>
    </row>
    <row r="21" spans="1:69" s="202" customFormat="1" ht="15.5" x14ac:dyDescent="0.35">
      <c r="A21" s="251"/>
      <c r="B21" s="285"/>
      <c r="C21" s="286" t="s">
        <v>655</v>
      </c>
      <c r="D21" s="286" t="s">
        <v>653</v>
      </c>
      <c r="E21" s="247">
        <v>1160</v>
      </c>
      <c r="F21" s="251"/>
      <c r="G21" s="283">
        <f>' Calcul simpl porc'!AN18/1000*E21</f>
        <v>146.07287271227653</v>
      </c>
      <c r="H21" s="283">
        <f>IF(J21="Pré_stockage_lisier_sous_caillebotis",IF(K21="Fosse non couverte", ' Calcul simpl porc'!AN18/1000*'OAD coût CO2 épargné'!E21, 0),0)+IF(J21="Pré_stockage_lisier_sous_caillebotis",IF(K21="Métha. psychrophile + chaudière", ' Calcul simpl porc'!AN19/1000*'OAD coût CO2 épargné'!E21, 0),0)+IF(J21="Pré_stockage_lisier_sous_caillebotis",IF(K21="Métha. mésophile + cogé.", ' Calcul simpl porc'!AN20/1000*'OAD coût CO2 épargné'!E21, 0),0) + IF(J21="Raclage_à_plat_quotidien",IF(K21="Métha. mésophile + cogé.", ' Calcul simpl porc'!AN22/1000*'OAD coût CO2 épargné'!E21, 0),0)+ IF(J21="Raclage_à_plat_quotidien",IF(K21="Métha. psychrophile + chaudière", ' Calcul simpl porc'!AN21/1000*'OAD coût CO2 épargné'!E21, 0),0)</f>
        <v>91.789770366744591</v>
      </c>
      <c r="I21" s="251"/>
      <c r="J21" s="247" t="s">
        <v>656</v>
      </c>
      <c r="K21" s="248" t="s">
        <v>636</v>
      </c>
      <c r="L21" s="251"/>
      <c r="M21" s="295" t="s">
        <v>650</v>
      </c>
      <c r="N21" s="296"/>
      <c r="O21" s="297"/>
      <c r="P21" s="251"/>
      <c r="Q21" s="298"/>
      <c r="R21" s="239"/>
      <c r="S21" s="239"/>
      <c r="T21" s="239"/>
      <c r="U21" s="239"/>
      <c r="V21" s="239"/>
      <c r="W21" s="239"/>
      <c r="X21" s="239"/>
      <c r="Y21" s="239"/>
      <c r="Z21" s="239"/>
      <c r="AA21" s="239"/>
      <c r="AB21" s="239"/>
      <c r="AC21" s="239"/>
      <c r="AD21" s="239"/>
      <c r="AE21" s="239"/>
      <c r="AF21" s="239"/>
      <c r="AG21" s="239"/>
      <c r="AH21" s="239"/>
      <c r="AI21" s="239"/>
      <c r="AJ21" s="239"/>
      <c r="AK21" s="239"/>
      <c r="AL21" s="239"/>
      <c r="AM21" s="239"/>
      <c r="AN21" s="239"/>
      <c r="AO21" s="239"/>
      <c r="AP21" s="239"/>
      <c r="AQ21" s="239"/>
      <c r="AR21" s="239"/>
      <c r="AS21" s="239"/>
      <c r="AT21" s="239"/>
      <c r="AU21" s="239"/>
      <c r="AV21" s="239"/>
      <c r="AW21" s="239"/>
      <c r="AX21" s="239"/>
      <c r="AY21" s="239"/>
      <c r="AZ21" s="239"/>
      <c r="BA21" s="239"/>
      <c r="BB21" s="239"/>
      <c r="BC21" s="240"/>
      <c r="BD21" s="236">
        <f>E21*6.5*0.09</f>
        <v>678.6</v>
      </c>
      <c r="BE21" s="232">
        <v>4.9000000000000002E-2</v>
      </c>
      <c r="BF21" s="232">
        <v>389</v>
      </c>
      <c r="BG21" s="236">
        <f>BD21*BE21*BF21*9.95*'Données Production '!$B$30</f>
        <v>128701.20627</v>
      </c>
      <c r="BH21" s="232"/>
      <c r="BI21" s="226"/>
      <c r="BJ21" s="226" t="s">
        <v>42</v>
      </c>
      <c r="BK21" s="226" t="s">
        <v>31</v>
      </c>
      <c r="BL21" s="226" t="s">
        <v>32</v>
      </c>
      <c r="BM21" s="238" t="s">
        <v>46</v>
      </c>
      <c r="BN21" s="232"/>
      <c r="BO21" s="232"/>
      <c r="BP21" s="231"/>
      <c r="BQ21" s="231"/>
    </row>
    <row r="22" spans="1:69" s="202" customFormat="1" x14ac:dyDescent="0.35">
      <c r="A22" s="251"/>
      <c r="B22" s="293"/>
      <c r="C22" s="251"/>
      <c r="D22" s="251"/>
      <c r="E22" s="251"/>
      <c r="F22" s="251"/>
      <c r="G22" s="251"/>
      <c r="H22" s="251"/>
      <c r="I22" s="251"/>
      <c r="J22" s="251"/>
      <c r="K22" s="277"/>
      <c r="L22" s="251"/>
      <c r="M22" s="275" t="s">
        <v>651</v>
      </c>
      <c r="N22" s="276"/>
      <c r="O22" s="277"/>
      <c r="P22" s="251"/>
      <c r="Q22" s="255"/>
      <c r="R22" s="225"/>
      <c r="S22" s="225"/>
      <c r="T22" s="225"/>
      <c r="U22" s="225"/>
      <c r="V22" s="225"/>
      <c r="W22" s="225"/>
      <c r="X22" s="225"/>
      <c r="Y22" s="225"/>
      <c r="Z22" s="225"/>
      <c r="AA22" s="225"/>
      <c r="AB22" s="225"/>
      <c r="AC22" s="225"/>
      <c r="AD22" s="225"/>
      <c r="AE22" s="225"/>
      <c r="AF22" s="225"/>
      <c r="AG22" s="225"/>
      <c r="AH22" s="225"/>
      <c r="AI22" s="225"/>
      <c r="AJ22" s="225"/>
      <c r="AK22" s="225"/>
      <c r="AL22" s="225"/>
      <c r="AM22" s="225"/>
      <c r="AN22" s="225"/>
      <c r="AO22" s="225"/>
      <c r="AP22" s="225"/>
      <c r="AQ22" s="225"/>
      <c r="AR22" s="225"/>
      <c r="AS22" s="225"/>
      <c r="AT22" s="225"/>
      <c r="AU22" s="225"/>
      <c r="AV22" s="225"/>
      <c r="AW22" s="225"/>
      <c r="AX22" s="225"/>
      <c r="AY22" s="225"/>
      <c r="AZ22" s="225"/>
      <c r="BA22" s="225"/>
      <c r="BB22" s="225"/>
      <c r="BC22" s="226"/>
      <c r="BD22" s="232"/>
      <c r="BE22" s="232"/>
      <c r="BF22" s="232"/>
      <c r="BG22" s="236"/>
      <c r="BH22" s="232"/>
      <c r="BI22" s="226"/>
      <c r="BJ22" s="226" t="s">
        <v>42</v>
      </c>
      <c r="BK22" s="226" t="s">
        <v>31</v>
      </c>
      <c r="BL22" s="226" t="s">
        <v>639</v>
      </c>
      <c r="BM22" s="238" t="s">
        <v>47</v>
      </c>
      <c r="BN22" s="232"/>
      <c r="BO22" s="232"/>
      <c r="BP22" s="231"/>
      <c r="BQ22" s="231"/>
    </row>
    <row r="23" spans="1:69" s="202" customFormat="1" x14ac:dyDescent="0.35">
      <c r="A23" s="251"/>
      <c r="B23" s="285" t="s">
        <v>64</v>
      </c>
      <c r="C23" s="286" t="s">
        <v>659</v>
      </c>
      <c r="D23" s="286" t="s">
        <v>66</v>
      </c>
      <c r="E23" s="247"/>
      <c r="F23" s="251"/>
      <c r="G23" s="283">
        <f>'Calcul simpl volaille'!BD11/1000*'OAD coût CO2 épargné'!E23</f>
        <v>0</v>
      </c>
      <c r="H23" s="283">
        <f>IF(K23="Compostage", 'Calcul simpl volaille'!BD12/1000*'OAD coût CO2 épargné'!E23, IF(K23="Méthanisation collective", 'Calcul simpl volaille'!BD13/1000*'OAD coût CO2 épargné'!E23, ""))</f>
        <v>0</v>
      </c>
      <c r="I23" s="287"/>
      <c r="J23" s="342" t="s">
        <v>66</v>
      </c>
      <c r="K23" s="248" t="s">
        <v>68</v>
      </c>
      <c r="L23" s="251"/>
      <c r="M23" s="282" t="s">
        <v>0</v>
      </c>
      <c r="N23" s="247">
        <v>113000</v>
      </c>
      <c r="O23" s="284" t="s">
        <v>640</v>
      </c>
      <c r="P23" s="298"/>
      <c r="Q23" s="255"/>
      <c r="R23" s="225"/>
      <c r="S23" s="225"/>
      <c r="T23" s="225"/>
      <c r="U23" s="225"/>
      <c r="V23" s="225"/>
      <c r="W23" s="225"/>
      <c r="X23" s="225"/>
      <c r="Y23" s="225"/>
      <c r="Z23" s="225"/>
      <c r="AA23" s="225"/>
      <c r="AB23" s="225"/>
      <c r="AC23" s="225"/>
      <c r="AD23" s="225"/>
      <c r="AE23" s="225"/>
      <c r="AF23" s="225"/>
      <c r="AG23" s="225"/>
      <c r="AH23" s="225"/>
      <c r="AI23" s="225"/>
      <c r="AJ23" s="225"/>
      <c r="AK23" s="225"/>
      <c r="AL23" s="225"/>
      <c r="AM23" s="225"/>
      <c r="AN23" s="225"/>
      <c r="AO23" s="225"/>
      <c r="AP23" s="225"/>
      <c r="AQ23" s="225"/>
      <c r="AR23" s="225"/>
      <c r="AS23" s="225"/>
      <c r="AT23" s="225"/>
      <c r="AU23" s="225"/>
      <c r="AV23" s="225"/>
      <c r="AW23" s="225"/>
      <c r="AX23" s="225"/>
      <c r="AY23" s="225"/>
      <c r="AZ23" s="225"/>
      <c r="BA23" s="225"/>
      <c r="BB23" s="225"/>
      <c r="BC23" s="226"/>
      <c r="BD23" s="236">
        <f>0.385*7.1*E23/21.3</f>
        <v>0</v>
      </c>
      <c r="BE23" s="232">
        <v>0.51800000000000002</v>
      </c>
      <c r="BF23" s="232">
        <v>316</v>
      </c>
      <c r="BG23" s="236">
        <f>BD23*BE23*BF23*9.95*'Données Production '!$B$30</f>
        <v>0</v>
      </c>
      <c r="BH23" s="232"/>
      <c r="BI23" s="226"/>
      <c r="BJ23" s="226" t="s">
        <v>42</v>
      </c>
      <c r="BK23" s="226" t="s">
        <v>31</v>
      </c>
      <c r="BL23" s="226" t="s">
        <v>35</v>
      </c>
      <c r="BM23" s="238" t="s">
        <v>48</v>
      </c>
      <c r="BN23" s="232"/>
      <c r="BO23" s="232"/>
      <c r="BP23" s="231"/>
      <c r="BQ23" s="231"/>
    </row>
    <row r="24" spans="1:69" s="202" customFormat="1" x14ac:dyDescent="0.35">
      <c r="A24" s="251"/>
      <c r="B24" s="299"/>
      <c r="C24" s="286" t="s">
        <v>661</v>
      </c>
      <c r="D24" s="286" t="s">
        <v>66</v>
      </c>
      <c r="E24" s="247"/>
      <c r="F24" s="251"/>
      <c r="G24" s="283">
        <f>'Calcul simpl volaille'!BD14/1000*'OAD coût CO2 épargné'!E24</f>
        <v>0</v>
      </c>
      <c r="H24" s="283">
        <f>IF(K24="Compostage", 'Calcul simpl volaille'!BD15/1000*'OAD coût CO2 épargné'!E24, IF(K24="Méthanisation collective", 'Calcul simpl volaille'!BD16/1000*'OAD coût CO2 épargné'!E24, ""))</f>
        <v>0</v>
      </c>
      <c r="I24" s="287"/>
      <c r="J24" s="341"/>
      <c r="K24" s="248" t="s">
        <v>68</v>
      </c>
      <c r="L24" s="251"/>
      <c r="M24" s="282" t="s">
        <v>15</v>
      </c>
      <c r="N24" s="247">
        <v>40</v>
      </c>
      <c r="O24" s="284" t="s">
        <v>146</v>
      </c>
      <c r="P24" s="255"/>
      <c r="Q24" s="255"/>
      <c r="R24" s="225"/>
      <c r="S24" s="225"/>
      <c r="T24" s="225"/>
      <c r="U24" s="225"/>
      <c r="V24" s="225"/>
      <c r="W24" s="225"/>
      <c r="X24" s="225"/>
      <c r="Y24" s="225"/>
      <c r="Z24" s="225"/>
      <c r="AA24" s="225"/>
      <c r="AB24" s="225"/>
      <c r="AC24" s="225"/>
      <c r="AD24" s="225"/>
      <c r="AE24" s="225"/>
      <c r="AF24" s="225"/>
      <c r="AG24" s="225"/>
      <c r="AH24" s="225"/>
      <c r="AI24" s="225"/>
      <c r="AJ24" s="225"/>
      <c r="AK24" s="225"/>
      <c r="AL24" s="225"/>
      <c r="AM24" s="225"/>
      <c r="AN24" s="225"/>
      <c r="AO24" s="225"/>
      <c r="AP24" s="225"/>
      <c r="AQ24" s="225"/>
      <c r="AR24" s="225"/>
      <c r="AS24" s="225"/>
      <c r="AT24" s="225"/>
      <c r="AU24" s="225"/>
      <c r="AV24" s="225"/>
      <c r="AW24" s="225"/>
      <c r="AX24" s="225"/>
      <c r="AY24" s="225"/>
      <c r="AZ24" s="225"/>
      <c r="BA24" s="225"/>
      <c r="BB24" s="225"/>
      <c r="BC24" s="226"/>
      <c r="BD24" s="236">
        <f>E24*0.02*'Données Production '!I8</f>
        <v>0</v>
      </c>
      <c r="BE24" s="232">
        <v>0.247</v>
      </c>
      <c r="BF24" s="232">
        <v>245</v>
      </c>
      <c r="BG24" s="236">
        <f>BD24*BE24*BF24*9.95*'Données Production '!$B$30</f>
        <v>0</v>
      </c>
      <c r="BH24" s="232"/>
      <c r="BI24" s="226"/>
      <c r="BJ24" s="226" t="s">
        <v>42</v>
      </c>
      <c r="BK24" s="226" t="s">
        <v>49</v>
      </c>
      <c r="BL24" s="226" t="s">
        <v>38</v>
      </c>
      <c r="BM24" s="238" t="s">
        <v>50</v>
      </c>
      <c r="BN24" s="232"/>
      <c r="BO24" s="232"/>
      <c r="BP24" s="231"/>
      <c r="BQ24" s="231"/>
    </row>
    <row r="25" spans="1:69" s="202" customFormat="1" x14ac:dyDescent="0.35">
      <c r="A25" s="251"/>
      <c r="B25" s="299"/>
      <c r="C25" s="286" t="s">
        <v>663</v>
      </c>
      <c r="D25" s="286" t="s">
        <v>653</v>
      </c>
      <c r="E25" s="247"/>
      <c r="F25" s="251"/>
      <c r="G25" s="283">
        <f>'Calcul simpl volaille'!BD9/1000*'OAD coût CO2 épargné'!E25</f>
        <v>0</v>
      </c>
      <c r="H25" s="283">
        <f>'Calcul simpl volaille'!BD10/1000*'OAD coût CO2 épargné'!E25</f>
        <v>0</v>
      </c>
      <c r="I25" s="287"/>
      <c r="J25" s="342" t="s">
        <v>664</v>
      </c>
      <c r="K25" s="344" t="s">
        <v>636</v>
      </c>
      <c r="L25" s="251"/>
      <c r="M25" s="282" t="s">
        <v>643</v>
      </c>
      <c r="N25" s="249">
        <v>3000</v>
      </c>
      <c r="O25" s="284" t="s">
        <v>8</v>
      </c>
      <c r="P25" s="255"/>
      <c r="Q25" s="255"/>
      <c r="R25" s="225"/>
      <c r="S25" s="225"/>
      <c r="T25" s="225"/>
      <c r="U25" s="225"/>
      <c r="V25" s="225"/>
      <c r="W25" s="225"/>
      <c r="X25" s="225"/>
      <c r="Y25" s="225"/>
      <c r="Z25" s="225"/>
      <c r="AA25" s="225"/>
      <c r="AB25" s="225"/>
      <c r="AC25" s="225"/>
      <c r="AD25" s="225"/>
      <c r="AE25" s="225"/>
      <c r="AF25" s="225"/>
      <c r="AG25" s="225"/>
      <c r="AH25" s="225"/>
      <c r="AI25" s="225"/>
      <c r="AJ25" s="225"/>
      <c r="AK25" s="225"/>
      <c r="AL25" s="225"/>
      <c r="AM25" s="225"/>
      <c r="AN25" s="225"/>
      <c r="AO25" s="225"/>
      <c r="AP25" s="225"/>
      <c r="AQ25" s="225"/>
      <c r="AR25" s="225"/>
      <c r="AS25" s="225"/>
      <c r="AT25" s="225"/>
      <c r="AU25" s="225"/>
      <c r="AV25" s="225"/>
      <c r="AW25" s="225"/>
      <c r="AX25" s="225"/>
      <c r="AY25" s="225"/>
      <c r="AZ25" s="225"/>
      <c r="BA25" s="225"/>
      <c r="BB25" s="225"/>
      <c r="BC25" s="226"/>
      <c r="BD25" s="236">
        <f>0.0265*E25*'Données Production '!J8</f>
        <v>0</v>
      </c>
      <c r="BE25" s="232">
        <v>6.1100000000000002E-2</v>
      </c>
      <c r="BF25" s="232">
        <v>380</v>
      </c>
      <c r="BG25" s="236">
        <f>BD25*BE25*BF25*9.95*'Données Production '!$B$30</f>
        <v>0</v>
      </c>
      <c r="BH25" s="232"/>
      <c r="BI25" s="226"/>
      <c r="BJ25" s="226" t="s">
        <v>42</v>
      </c>
      <c r="BK25" s="226" t="s">
        <v>40</v>
      </c>
      <c r="BL25" s="226" t="s">
        <v>35</v>
      </c>
      <c r="BM25" s="238" t="s">
        <v>51</v>
      </c>
      <c r="BN25" s="232"/>
      <c r="BO25" s="232"/>
      <c r="BP25" s="231"/>
      <c r="BQ25" s="231"/>
    </row>
    <row r="26" spans="1:69" s="202" customFormat="1" ht="15" thickBot="1" x14ac:dyDescent="0.4">
      <c r="A26" s="251"/>
      <c r="B26" s="300"/>
      <c r="C26" s="301" t="s">
        <v>78</v>
      </c>
      <c r="D26" s="301" t="s">
        <v>653</v>
      </c>
      <c r="E26" s="250"/>
      <c r="F26" s="273"/>
      <c r="G26" s="302">
        <f>'Calcul simpl volaille'!BD7/1000*'OAD coût CO2 épargné'!E26</f>
        <v>0</v>
      </c>
      <c r="H26" s="302">
        <f>'Calcul simpl volaille'!BD8/1000*'OAD coût CO2 épargné'!E26</f>
        <v>0</v>
      </c>
      <c r="I26" s="303"/>
      <c r="J26" s="343"/>
      <c r="K26" s="347"/>
      <c r="L26" s="251"/>
      <c r="M26" s="282" t="s">
        <v>660</v>
      </c>
      <c r="N26" s="247">
        <v>10000</v>
      </c>
      <c r="O26" s="292" t="s">
        <v>8</v>
      </c>
      <c r="P26" s="255"/>
      <c r="Q26" s="255"/>
      <c r="R26" s="225"/>
      <c r="S26" s="225"/>
      <c r="T26" s="225"/>
      <c r="U26" s="225"/>
      <c r="V26" s="225"/>
      <c r="W26" s="225"/>
      <c r="X26" s="225"/>
      <c r="Y26" s="225"/>
      <c r="Z26" s="225"/>
      <c r="AA26" s="225"/>
      <c r="AB26" s="225"/>
      <c r="AC26" s="225"/>
      <c r="AD26" s="225"/>
      <c r="AE26" s="225"/>
      <c r="AF26" s="225"/>
      <c r="AG26" s="225"/>
      <c r="AH26" s="225"/>
      <c r="AI26" s="225"/>
      <c r="AJ26" s="225"/>
      <c r="AK26" s="225"/>
      <c r="AL26" s="225"/>
      <c r="AM26" s="225"/>
      <c r="AN26" s="225"/>
      <c r="AO26" s="225"/>
      <c r="AP26" s="225"/>
      <c r="AQ26" s="225"/>
      <c r="AR26" s="225"/>
      <c r="AS26" s="225"/>
      <c r="AT26" s="225"/>
      <c r="AU26" s="225"/>
      <c r="AV26" s="225"/>
      <c r="AW26" s="225"/>
      <c r="AX26" s="225"/>
      <c r="AY26" s="225"/>
      <c r="AZ26" s="225"/>
      <c r="BA26" s="225"/>
      <c r="BB26" s="225"/>
      <c r="BC26" s="226"/>
      <c r="BD26" s="236">
        <f>(0.0172+0.009)*E26*'Données Production '!K8</f>
        <v>0</v>
      </c>
      <c r="BE26" s="232">
        <v>8.8400000000000006E-2</v>
      </c>
      <c r="BF26" s="232">
        <v>400</v>
      </c>
      <c r="BG26" s="236">
        <f>BD26*BE26*BF26*9.95*'Données Production '!$B$30</f>
        <v>0</v>
      </c>
      <c r="BH26" s="232"/>
      <c r="BI26" s="226"/>
      <c r="BJ26" s="226" t="s">
        <v>52</v>
      </c>
      <c r="BK26" s="226" t="s">
        <v>49</v>
      </c>
      <c r="BL26" s="226" t="s">
        <v>38</v>
      </c>
      <c r="BM26" s="238" t="s">
        <v>53</v>
      </c>
      <c r="BN26" s="232"/>
      <c r="BO26" s="232"/>
      <c r="BP26" s="231"/>
      <c r="BQ26" s="231"/>
    </row>
    <row r="27" spans="1:69" s="202" customFormat="1" x14ac:dyDescent="0.35">
      <c r="A27" s="251"/>
      <c r="B27" s="251"/>
      <c r="C27" s="251"/>
      <c r="D27" s="251"/>
      <c r="E27" s="251"/>
      <c r="F27" s="251"/>
      <c r="G27" s="251"/>
      <c r="H27" s="251"/>
      <c r="I27" s="251"/>
      <c r="J27" s="251"/>
      <c r="K27" s="251"/>
      <c r="L27" s="251"/>
      <c r="M27" s="304" t="s">
        <v>662</v>
      </c>
      <c r="N27" s="305"/>
      <c r="O27" s="306"/>
      <c r="P27" s="255"/>
      <c r="Q27" s="25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231"/>
      <c r="BA27" s="231"/>
      <c r="BB27" s="231"/>
      <c r="BC27" s="232"/>
      <c r="BD27" s="232"/>
      <c r="BE27" s="232"/>
      <c r="BF27" s="232"/>
      <c r="BG27" s="232"/>
      <c r="BH27" s="232"/>
      <c r="BI27" s="226"/>
      <c r="BJ27" s="226" t="s">
        <v>52</v>
      </c>
      <c r="BK27" s="226" t="s">
        <v>40</v>
      </c>
      <c r="BL27" s="226" t="s">
        <v>35</v>
      </c>
      <c r="BM27" s="238" t="s">
        <v>54</v>
      </c>
      <c r="BN27" s="232"/>
      <c r="BO27" s="232"/>
      <c r="BP27" s="231"/>
      <c r="BQ27" s="231"/>
    </row>
    <row r="28" spans="1:69" s="202" customFormat="1" ht="18.5" x14ac:dyDescent="0.45">
      <c r="A28" s="251"/>
      <c r="B28" s="307"/>
      <c r="C28" s="307"/>
      <c r="D28" s="307" t="s">
        <v>668</v>
      </c>
      <c r="E28" s="251"/>
      <c r="F28" s="251"/>
      <c r="G28" s="251"/>
      <c r="H28" s="251"/>
      <c r="I28" s="251"/>
      <c r="J28" s="287"/>
      <c r="K28" s="251"/>
      <c r="L28" s="251"/>
      <c r="M28" s="282" t="s">
        <v>665</v>
      </c>
      <c r="N28" s="247">
        <v>60</v>
      </c>
      <c r="O28" s="284" t="s">
        <v>666</v>
      </c>
      <c r="P28" s="255"/>
      <c r="Q28" s="25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231"/>
      <c r="BA28" s="231"/>
      <c r="BB28" s="231"/>
      <c r="BC28" s="232"/>
      <c r="BD28" s="236">
        <f>SUM(BD9:BD26)</f>
        <v>6018.6</v>
      </c>
      <c r="BE28" s="241" t="s">
        <v>148</v>
      </c>
      <c r="BF28" s="232"/>
      <c r="BG28" s="236">
        <f>SUM(BG9:BG26)</f>
        <v>690645.54536999995</v>
      </c>
      <c r="BH28" s="241" t="s">
        <v>669</v>
      </c>
      <c r="BI28" s="226"/>
      <c r="BJ28" s="226" t="s">
        <v>55</v>
      </c>
      <c r="BK28" s="226" t="s">
        <v>49</v>
      </c>
      <c r="BL28" s="226" t="s">
        <v>38</v>
      </c>
      <c r="BM28" s="238" t="s">
        <v>56</v>
      </c>
      <c r="BN28" s="232"/>
      <c r="BO28" s="232"/>
      <c r="BP28" s="231"/>
      <c r="BQ28" s="231"/>
    </row>
    <row r="29" spans="1:69" s="202" customFormat="1" ht="15" thickBot="1" x14ac:dyDescent="0.4">
      <c r="A29" s="251"/>
      <c r="B29" s="251"/>
      <c r="C29" s="251"/>
      <c r="D29" s="251"/>
      <c r="E29" s="251"/>
      <c r="F29" s="251"/>
      <c r="G29" s="251"/>
      <c r="H29" s="251"/>
      <c r="I29" s="251"/>
      <c r="J29" s="251"/>
      <c r="K29" s="251"/>
      <c r="L29" s="251"/>
      <c r="M29" s="282" t="s">
        <v>667</v>
      </c>
      <c r="N29" s="247"/>
      <c r="O29" s="284" t="s">
        <v>666</v>
      </c>
      <c r="P29" s="251"/>
      <c r="Q29" s="25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2"/>
      <c r="BD29" s="232"/>
      <c r="BE29" s="232"/>
      <c r="BF29" s="232"/>
      <c r="BG29" s="242">
        <f>BG28*(1-N40/100)*N42/100</f>
        <v>656113.26810149988</v>
      </c>
      <c r="BH29" s="241" t="s">
        <v>923</v>
      </c>
      <c r="BI29" s="226"/>
      <c r="BJ29" s="226" t="s">
        <v>55</v>
      </c>
      <c r="BK29" s="226" t="s">
        <v>40</v>
      </c>
      <c r="BL29" s="226" t="s">
        <v>35</v>
      </c>
      <c r="BM29" s="238" t="s">
        <v>57</v>
      </c>
      <c r="BN29" s="232"/>
      <c r="BO29" s="232"/>
      <c r="BP29" s="231"/>
      <c r="BQ29" s="231"/>
    </row>
    <row r="30" spans="1:69" s="202" customFormat="1" ht="20.5" x14ac:dyDescent="0.55000000000000004">
      <c r="A30" s="251"/>
      <c r="B30" s="251"/>
      <c r="C30" s="251"/>
      <c r="D30" s="308"/>
      <c r="E30" s="309" t="s">
        <v>670</v>
      </c>
      <c r="F30" s="279"/>
      <c r="G30" s="310">
        <f>SUM(G9:G26)</f>
        <v>1143.4321624557131</v>
      </c>
      <c r="H30" s="310">
        <f>SUM(H9:H26)+(G30-SUM(H9:H26))*(1-N42/100)</f>
        <v>471.86455061267213</v>
      </c>
      <c r="I30" s="311"/>
      <c r="J30" s="312" t="s">
        <v>671</v>
      </c>
      <c r="K30" s="251"/>
      <c r="L30" s="251"/>
      <c r="M30" s="282" t="s">
        <v>655</v>
      </c>
      <c r="N30" s="247"/>
      <c r="O30" s="284" t="s">
        <v>666</v>
      </c>
      <c r="P30" s="251"/>
      <c r="Q30" s="251"/>
      <c r="R30" s="231"/>
      <c r="S30" s="231"/>
      <c r="T30" s="231"/>
      <c r="U30" s="231"/>
      <c r="V30" s="231"/>
      <c r="W30" s="231"/>
      <c r="X30" s="231"/>
      <c r="Y30" s="231"/>
      <c r="Z30" s="231"/>
      <c r="AA30" s="231"/>
      <c r="AB30" s="231"/>
      <c r="AC30" s="231"/>
      <c r="AD30" s="231"/>
      <c r="AE30" s="231"/>
      <c r="AF30" s="231"/>
      <c r="AG30" s="231"/>
      <c r="AH30" s="231"/>
      <c r="AI30" s="231"/>
      <c r="AJ30" s="231"/>
      <c r="AK30" s="231"/>
      <c r="AL30" s="231"/>
      <c r="AM30" s="231"/>
      <c r="AN30" s="231"/>
      <c r="AO30" s="231"/>
      <c r="AP30" s="231"/>
      <c r="AQ30" s="231"/>
      <c r="AR30" s="231"/>
      <c r="AS30" s="231"/>
      <c r="AT30" s="231"/>
      <c r="AU30" s="231"/>
      <c r="AV30" s="231"/>
      <c r="AW30" s="231"/>
      <c r="AX30" s="231"/>
      <c r="AY30" s="231"/>
      <c r="AZ30" s="231"/>
      <c r="BA30" s="231"/>
      <c r="BB30" s="231"/>
      <c r="BC30" s="232"/>
      <c r="BD30" s="232"/>
      <c r="BE30" s="232"/>
      <c r="BF30" s="232"/>
      <c r="BG30" s="232"/>
      <c r="BH30" s="232"/>
      <c r="BI30" s="226"/>
      <c r="BJ30" s="226" t="s">
        <v>58</v>
      </c>
      <c r="BK30" s="226" t="s">
        <v>59</v>
      </c>
      <c r="BL30" s="226" t="s">
        <v>25</v>
      </c>
      <c r="BM30" s="238" t="s">
        <v>60</v>
      </c>
      <c r="BN30" s="232"/>
      <c r="BO30" s="232"/>
      <c r="BP30" s="231"/>
      <c r="BQ30" s="231"/>
    </row>
    <row r="31" spans="1:69" s="202" customFormat="1" ht="18.5" x14ac:dyDescent="0.45">
      <c r="A31" s="251"/>
      <c r="B31" s="251"/>
      <c r="C31" s="251"/>
      <c r="D31" s="313"/>
      <c r="E31" s="314" t="s">
        <v>672</v>
      </c>
      <c r="F31" s="286"/>
      <c r="G31" s="315"/>
      <c r="H31" s="316">
        <f>(H30-G30)/G30*100</f>
        <v>-58.732615182061728</v>
      </c>
      <c r="I31" s="317"/>
      <c r="J31" s="318" t="s">
        <v>146</v>
      </c>
      <c r="K31" s="251"/>
      <c r="L31" s="251"/>
      <c r="M31" s="282" t="s">
        <v>935</v>
      </c>
      <c r="N31" s="290">
        <f>E19*N28+E20*N29+E21*N30</f>
        <v>150000</v>
      </c>
      <c r="O31" s="284" t="s">
        <v>640</v>
      </c>
      <c r="P31" s="251"/>
      <c r="Q31" s="319"/>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38"/>
      <c r="BD31" s="232"/>
      <c r="BE31" s="232"/>
      <c r="BF31" s="232"/>
      <c r="BG31" s="232"/>
      <c r="BH31" s="232"/>
      <c r="BI31" s="226"/>
      <c r="BJ31" s="226" t="s">
        <v>58</v>
      </c>
      <c r="BK31" s="226" t="s">
        <v>61</v>
      </c>
      <c r="BL31" s="226" t="s">
        <v>636</v>
      </c>
      <c r="BM31" s="238" t="s">
        <v>62</v>
      </c>
      <c r="BN31" s="232"/>
      <c r="BO31" s="232"/>
      <c r="BP31" s="231"/>
      <c r="BQ31" s="231"/>
    </row>
    <row r="32" spans="1:69" s="13" customFormat="1" ht="21" customHeight="1" thickBot="1" x14ac:dyDescent="0.6">
      <c r="A32" s="319"/>
      <c r="B32" s="319"/>
      <c r="C32" s="251"/>
      <c r="D32" s="320"/>
      <c r="E32" s="321" t="s">
        <v>674</v>
      </c>
      <c r="F32" s="322"/>
      <c r="G32" s="323"/>
      <c r="H32" s="324">
        <f>(-PMT(N37/100,N36,(N23*(1-N24/100)+N31+N33))+N25-N26+N34)/(G30-H30)</f>
        <v>20.243799588798929</v>
      </c>
      <c r="I32" s="323"/>
      <c r="J32" s="325" t="s">
        <v>675</v>
      </c>
      <c r="K32" s="319"/>
      <c r="L32" s="319"/>
      <c r="M32" s="304" t="s">
        <v>932</v>
      </c>
      <c r="N32" s="276"/>
      <c r="O32" s="277"/>
      <c r="P32" s="251"/>
      <c r="Q32" s="319"/>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243"/>
      <c r="AZ32" s="243"/>
      <c r="BA32" s="243"/>
      <c r="BB32" s="243"/>
      <c r="BC32" s="238"/>
      <c r="BD32" s="238"/>
      <c r="BE32" s="238"/>
      <c r="BF32" s="238"/>
      <c r="BG32" s="238"/>
      <c r="BH32" s="238"/>
      <c r="BI32" s="226"/>
      <c r="BJ32" s="226" t="s">
        <v>58</v>
      </c>
      <c r="BK32" s="226" t="s">
        <v>61</v>
      </c>
      <c r="BL32" s="226" t="s">
        <v>639</v>
      </c>
      <c r="BM32" s="238" t="s">
        <v>63</v>
      </c>
      <c r="BN32" s="238"/>
      <c r="BO32" s="238"/>
      <c r="BP32" s="243"/>
      <c r="BQ32" s="243"/>
    </row>
    <row r="33" spans="1:65" x14ac:dyDescent="0.35">
      <c r="A33" s="255"/>
      <c r="B33" s="255"/>
      <c r="C33" s="257"/>
      <c r="D33" s="255"/>
      <c r="E33" s="255"/>
      <c r="F33" s="255"/>
      <c r="G33" s="255"/>
      <c r="H33" s="251"/>
      <c r="I33" s="251"/>
      <c r="J33" s="326"/>
      <c r="K33" s="255"/>
      <c r="L33" s="255"/>
      <c r="M33" s="282" t="s">
        <v>0</v>
      </c>
      <c r="N33" s="247"/>
      <c r="O33" s="284" t="s">
        <v>640</v>
      </c>
      <c r="P33" s="319"/>
      <c r="Q33" s="255"/>
      <c r="BM33" s="238"/>
    </row>
    <row r="34" spans="1:65" ht="15.5" x14ac:dyDescent="0.35">
      <c r="A34" s="255"/>
      <c r="B34" s="327" t="s">
        <v>678</v>
      </c>
      <c r="C34" s="257"/>
      <c r="D34" s="255"/>
      <c r="E34" s="255"/>
      <c r="F34" s="255"/>
      <c r="G34" s="251"/>
      <c r="H34" s="328"/>
      <c r="I34" s="251"/>
      <c r="J34" s="298"/>
      <c r="K34" s="255"/>
      <c r="L34" s="255"/>
      <c r="M34" s="282" t="s">
        <v>643</v>
      </c>
      <c r="N34" s="247"/>
      <c r="O34" s="284" t="s">
        <v>8</v>
      </c>
      <c r="P34" s="319"/>
      <c r="Q34" s="255"/>
      <c r="BI34" s="244" t="s">
        <v>64</v>
      </c>
      <c r="BJ34" s="237" t="s">
        <v>19</v>
      </c>
      <c r="BK34" s="237" t="s">
        <v>20</v>
      </c>
      <c r="BL34" s="237" t="s">
        <v>21</v>
      </c>
      <c r="BM34" s="237" t="s">
        <v>22</v>
      </c>
    </row>
    <row r="35" spans="1:65" x14ac:dyDescent="0.35">
      <c r="A35" s="255"/>
      <c r="B35" s="327" t="s">
        <v>679</v>
      </c>
      <c r="C35" s="257"/>
      <c r="D35" s="255"/>
      <c r="E35" s="255"/>
      <c r="F35" s="255"/>
      <c r="G35" s="251"/>
      <c r="H35" s="251"/>
      <c r="I35" s="251"/>
      <c r="J35" s="298"/>
      <c r="K35" s="255"/>
      <c r="L35" s="255"/>
      <c r="M35" s="304" t="s">
        <v>673</v>
      </c>
      <c r="N35" s="329"/>
      <c r="O35" s="330"/>
      <c r="P35" s="255"/>
      <c r="Q35" s="255"/>
      <c r="BJ35" s="226" t="s">
        <v>65</v>
      </c>
      <c r="BK35" s="226" t="s">
        <v>66</v>
      </c>
      <c r="BL35" s="226" t="s">
        <v>38</v>
      </c>
      <c r="BM35" s="238" t="s">
        <v>67</v>
      </c>
    </row>
    <row r="36" spans="1:65" x14ac:dyDescent="0.35">
      <c r="A36" s="255"/>
      <c r="B36" s="327" t="s">
        <v>918</v>
      </c>
      <c r="C36" s="255"/>
      <c r="D36" s="255"/>
      <c r="E36" s="255"/>
      <c r="F36" s="255"/>
      <c r="G36" s="255"/>
      <c r="H36" s="255"/>
      <c r="I36" s="255"/>
      <c r="J36" s="298"/>
      <c r="K36" s="255"/>
      <c r="L36" s="255"/>
      <c r="M36" s="282" t="s">
        <v>676</v>
      </c>
      <c r="N36" s="247">
        <v>12</v>
      </c>
      <c r="O36" s="277" t="s">
        <v>11</v>
      </c>
      <c r="P36" s="255"/>
      <c r="Q36" s="255"/>
      <c r="BJ36" s="226" t="s">
        <v>65</v>
      </c>
      <c r="BK36" s="226" t="s">
        <v>66</v>
      </c>
      <c r="BL36" s="226" t="s">
        <v>68</v>
      </c>
      <c r="BM36" s="238" t="s">
        <v>69</v>
      </c>
    </row>
    <row r="37" spans="1:65" ht="15" customHeight="1" x14ac:dyDescent="0.35">
      <c r="A37" s="255"/>
      <c r="B37" s="255"/>
      <c r="C37" s="255"/>
      <c r="D37" s="255"/>
      <c r="E37" s="255"/>
      <c r="F37" s="255"/>
      <c r="G37" s="255"/>
      <c r="H37" s="255"/>
      <c r="I37" s="255"/>
      <c r="J37" s="255"/>
      <c r="K37" s="255"/>
      <c r="L37" s="255"/>
      <c r="M37" s="282" t="s">
        <v>677</v>
      </c>
      <c r="N37" s="247">
        <v>2</v>
      </c>
      <c r="O37" s="277" t="s">
        <v>146</v>
      </c>
      <c r="P37" s="255"/>
      <c r="Q37" s="255"/>
      <c r="BJ37" s="226" t="s">
        <v>65</v>
      </c>
      <c r="BK37" s="226" t="s">
        <v>66</v>
      </c>
      <c r="BL37" s="226" t="s">
        <v>35</v>
      </c>
      <c r="BM37" s="238" t="s">
        <v>70</v>
      </c>
    </row>
    <row r="38" spans="1:65" x14ac:dyDescent="0.35">
      <c r="A38" s="255"/>
      <c r="B38" s="255"/>
      <c r="C38" s="255"/>
      <c r="D38" s="255"/>
      <c r="E38" s="255"/>
      <c r="F38" s="255"/>
      <c r="G38" s="255"/>
      <c r="H38" s="255"/>
      <c r="I38" s="255"/>
      <c r="J38" s="255"/>
      <c r="K38" s="255"/>
      <c r="L38" s="255"/>
      <c r="M38" s="331"/>
      <c r="N38" s="305"/>
      <c r="O38" s="306"/>
      <c r="P38" s="255"/>
      <c r="Q38" s="255"/>
      <c r="BJ38" s="226" t="s">
        <v>71</v>
      </c>
      <c r="BK38" s="226" t="s">
        <v>66</v>
      </c>
      <c r="BL38" s="226" t="s">
        <v>38</v>
      </c>
      <c r="BM38" s="238" t="s">
        <v>72</v>
      </c>
    </row>
    <row r="39" spans="1:65" ht="15.5" x14ac:dyDescent="0.35">
      <c r="A39" s="255"/>
      <c r="B39" s="255"/>
      <c r="C39" s="255"/>
      <c r="D39" s="255"/>
      <c r="E39" s="255"/>
      <c r="F39" s="255"/>
      <c r="G39" s="255"/>
      <c r="H39" s="255"/>
      <c r="I39" s="255"/>
      <c r="J39" s="255"/>
      <c r="K39" s="255"/>
      <c r="L39" s="255"/>
      <c r="M39" s="295" t="s">
        <v>680</v>
      </c>
      <c r="N39" s="332"/>
      <c r="O39" s="330"/>
      <c r="P39" s="255"/>
      <c r="Q39" s="255"/>
      <c r="BJ39" s="226" t="s">
        <v>71</v>
      </c>
      <c r="BK39" s="226" t="s">
        <v>66</v>
      </c>
      <c r="BL39" s="226" t="s">
        <v>68</v>
      </c>
      <c r="BM39" s="238" t="s">
        <v>73</v>
      </c>
    </row>
    <row r="40" spans="1:65" x14ac:dyDescent="0.35">
      <c r="A40" s="255"/>
      <c r="B40" s="255"/>
      <c r="C40" s="333"/>
      <c r="D40" s="255"/>
      <c r="E40" s="255"/>
      <c r="F40" s="255"/>
      <c r="G40" s="334"/>
      <c r="H40" s="251"/>
      <c r="I40" s="326"/>
      <c r="J40" s="255"/>
      <c r="K40" s="255"/>
      <c r="L40" s="255"/>
      <c r="M40" s="282" t="s">
        <v>681</v>
      </c>
      <c r="N40" s="247">
        <v>5</v>
      </c>
      <c r="O40" s="297" t="s">
        <v>146</v>
      </c>
      <c r="P40" s="255"/>
      <c r="Q40" s="255"/>
      <c r="BJ40" s="226" t="s">
        <v>71</v>
      </c>
      <c r="BK40" s="226" t="s">
        <v>66</v>
      </c>
      <c r="BL40" s="226" t="s">
        <v>35</v>
      </c>
      <c r="BM40" s="238" t="s">
        <v>74</v>
      </c>
    </row>
    <row r="41" spans="1:65" x14ac:dyDescent="0.35">
      <c r="A41" s="255"/>
      <c r="B41" s="255"/>
      <c r="C41" s="257"/>
      <c r="D41" s="298"/>
      <c r="E41" s="335"/>
      <c r="F41" s="255"/>
      <c r="G41" s="334"/>
      <c r="H41" s="251"/>
      <c r="I41" s="326"/>
      <c r="J41" s="255"/>
      <c r="K41" s="255"/>
      <c r="L41" s="255"/>
      <c r="M41" s="282" t="s">
        <v>682</v>
      </c>
      <c r="N41" s="247">
        <v>90</v>
      </c>
      <c r="O41" s="297" t="s">
        <v>146</v>
      </c>
      <c r="P41" s="255"/>
      <c r="Q41" s="255"/>
      <c r="BJ41" s="226" t="s">
        <v>75</v>
      </c>
      <c r="BK41" s="226" t="s">
        <v>59</v>
      </c>
      <c r="BL41" s="226" t="s">
        <v>25</v>
      </c>
      <c r="BM41" s="238" t="s">
        <v>76</v>
      </c>
    </row>
    <row r="42" spans="1:65" x14ac:dyDescent="0.35">
      <c r="A42" s="255"/>
      <c r="B42" s="255"/>
      <c r="C42" s="257"/>
      <c r="D42" s="298"/>
      <c r="E42" s="255"/>
      <c r="F42" s="255"/>
      <c r="G42" s="334"/>
      <c r="H42" s="251"/>
      <c r="I42" s="326"/>
      <c r="J42" s="255"/>
      <c r="K42" s="255"/>
      <c r="L42" s="255"/>
      <c r="M42" s="282" t="s">
        <v>683</v>
      </c>
      <c r="N42" s="247">
        <v>100</v>
      </c>
      <c r="O42" s="284" t="s">
        <v>146</v>
      </c>
      <c r="P42" s="255"/>
      <c r="Q42" s="255"/>
      <c r="BJ42" s="226" t="s">
        <v>75</v>
      </c>
      <c r="BK42" s="226" t="s">
        <v>664</v>
      </c>
      <c r="BL42" s="226" t="s">
        <v>28</v>
      </c>
      <c r="BM42" s="238" t="s">
        <v>77</v>
      </c>
    </row>
    <row r="43" spans="1:65" x14ac:dyDescent="0.35">
      <c r="A43" s="255"/>
      <c r="B43" s="255"/>
      <c r="C43" s="257"/>
      <c r="D43" s="298"/>
      <c r="E43" s="255"/>
      <c r="F43" s="255"/>
      <c r="G43" s="255"/>
      <c r="H43" s="255"/>
      <c r="I43" s="255"/>
      <c r="J43" s="255"/>
      <c r="K43" s="255"/>
      <c r="L43" s="255"/>
      <c r="M43" s="336" t="s">
        <v>933</v>
      </c>
      <c r="N43" s="249">
        <v>29</v>
      </c>
      <c r="O43" s="330" t="s">
        <v>146</v>
      </c>
      <c r="P43" s="255"/>
      <c r="Q43" s="255"/>
      <c r="BJ43" s="226" t="s">
        <v>78</v>
      </c>
      <c r="BK43" s="226" t="s">
        <v>59</v>
      </c>
      <c r="BL43" s="226" t="s">
        <v>25</v>
      </c>
      <c r="BM43" s="238" t="s">
        <v>79</v>
      </c>
    </row>
    <row r="44" spans="1:65" x14ac:dyDescent="0.35">
      <c r="A44" s="255"/>
      <c r="B44" s="255"/>
      <c r="C44" s="255"/>
      <c r="D44" s="298"/>
      <c r="E44" s="255"/>
      <c r="F44" s="255"/>
      <c r="G44" s="255"/>
      <c r="H44" s="255"/>
      <c r="I44" s="255"/>
      <c r="J44" s="255"/>
      <c r="K44" s="255"/>
      <c r="L44" s="255"/>
      <c r="M44" s="336" t="s">
        <v>934</v>
      </c>
      <c r="N44" s="249">
        <v>100</v>
      </c>
      <c r="O44" s="330" t="s">
        <v>146</v>
      </c>
      <c r="P44" s="255"/>
      <c r="Q44" s="255"/>
      <c r="BJ44" s="226" t="s">
        <v>78</v>
      </c>
      <c r="BK44" s="226" t="s">
        <v>664</v>
      </c>
      <c r="BL44" s="226" t="s">
        <v>28</v>
      </c>
      <c r="BM44" s="238" t="s">
        <v>80</v>
      </c>
    </row>
    <row r="45" spans="1:65" ht="15" thickBot="1" x14ac:dyDescent="0.4">
      <c r="A45" s="255"/>
      <c r="B45" s="255"/>
      <c r="C45" s="255"/>
      <c r="D45" s="298"/>
      <c r="E45" s="255"/>
      <c r="F45" s="255"/>
      <c r="G45" s="255"/>
      <c r="H45" s="255"/>
      <c r="I45" s="255"/>
      <c r="J45" s="255"/>
      <c r="K45" s="255"/>
      <c r="L45" s="255"/>
      <c r="M45" s="337"/>
      <c r="N45" s="338"/>
      <c r="O45" s="339"/>
      <c r="P45" s="255"/>
      <c r="Q45" s="255"/>
      <c r="BM45" s="238"/>
    </row>
    <row r="46" spans="1:65" x14ac:dyDescent="0.35">
      <c r="A46" s="255"/>
      <c r="B46" s="255"/>
      <c r="C46" s="255"/>
      <c r="D46" s="255"/>
      <c r="E46" s="255"/>
      <c r="F46" s="255"/>
      <c r="G46" s="255"/>
      <c r="H46" s="255"/>
      <c r="I46" s="255"/>
      <c r="J46" s="255"/>
      <c r="K46" s="255"/>
      <c r="L46" s="255"/>
      <c r="M46" s="255"/>
      <c r="N46" s="255"/>
      <c r="O46" s="255"/>
      <c r="P46" s="255"/>
      <c r="Q46" s="255"/>
      <c r="BI46" s="244" t="s">
        <v>922</v>
      </c>
      <c r="BJ46" s="237"/>
      <c r="BK46" s="237"/>
      <c r="BL46" s="237"/>
      <c r="BM46" s="237"/>
    </row>
    <row r="47" spans="1:65" x14ac:dyDescent="0.35">
      <c r="A47" s="225"/>
      <c r="B47" s="225"/>
      <c r="C47" s="225"/>
      <c r="D47" s="225"/>
      <c r="E47" s="225"/>
      <c r="F47" s="225"/>
      <c r="G47" s="225"/>
      <c r="H47" s="225"/>
      <c r="I47" s="225"/>
      <c r="J47" s="225"/>
      <c r="K47" s="225"/>
      <c r="L47" s="225"/>
      <c r="M47" s="225"/>
      <c r="N47" s="225"/>
      <c r="O47" s="225"/>
      <c r="BM47" s="238"/>
    </row>
    <row r="48" spans="1:65" x14ac:dyDescent="0.35">
      <c r="BJ48" s="226" t="s">
        <v>656</v>
      </c>
      <c r="BK48" s="232"/>
      <c r="BL48" s="238"/>
    </row>
    <row r="49" spans="62:65" x14ac:dyDescent="0.35">
      <c r="BJ49" s="226" t="s">
        <v>654</v>
      </c>
      <c r="BK49" s="232"/>
      <c r="BM49" s="238"/>
    </row>
    <row r="50" spans="62:65" x14ac:dyDescent="0.35">
      <c r="BK50" s="232"/>
      <c r="BM50" s="238"/>
    </row>
    <row r="51" spans="62:65" x14ac:dyDescent="0.35">
      <c r="BJ51" s="226" t="s">
        <v>25</v>
      </c>
      <c r="BK51" s="238"/>
      <c r="BM51" s="238"/>
    </row>
    <row r="52" spans="62:65" x14ac:dyDescent="0.35">
      <c r="BJ52" s="226" t="s">
        <v>636</v>
      </c>
      <c r="BK52" s="244"/>
      <c r="BM52" s="238"/>
    </row>
    <row r="53" spans="62:65" x14ac:dyDescent="0.35">
      <c r="BJ53" s="226" t="s">
        <v>639</v>
      </c>
      <c r="BM53" s="238"/>
    </row>
    <row r="54" spans="62:65" x14ac:dyDescent="0.35">
      <c r="BM54" s="238"/>
    </row>
    <row r="55" spans="62:65" x14ac:dyDescent="0.35">
      <c r="BM55" s="238"/>
    </row>
    <row r="56" spans="62:65" x14ac:dyDescent="0.35">
      <c r="BM56" s="238"/>
    </row>
    <row r="57" spans="62:65" x14ac:dyDescent="0.35">
      <c r="BM57" s="238"/>
    </row>
    <row r="58" spans="62:65" x14ac:dyDescent="0.35">
      <c r="BM58" s="238"/>
    </row>
    <row r="59" spans="62:65" x14ac:dyDescent="0.35">
      <c r="BM59" s="238"/>
    </row>
    <row r="60" spans="62:65" x14ac:dyDescent="0.35">
      <c r="BM60" s="238"/>
    </row>
    <row r="61" spans="62:65" x14ac:dyDescent="0.35">
      <c r="BM61" s="238"/>
    </row>
  </sheetData>
  <sheetProtection algorithmName="SHA-512" hashValue="X3CBDewJXbAuvdhRF/cwDFwvgQ+Dxd7CE7UAcqADdz3FKrcu5lryaAJIC9SaUgV9M+Xav29A1m7qX/hGdSnMiw==" saltValue="9V30GF6glF3Ws0AMMo3Pzg==" spinCount="100000" sheet="1" objects="1" scenarios="1"/>
  <mergeCells count="6">
    <mergeCell ref="J9:J10"/>
    <mergeCell ref="J14:J16"/>
    <mergeCell ref="J25:J26"/>
    <mergeCell ref="K14:K16"/>
    <mergeCell ref="K25:K26"/>
    <mergeCell ref="J23:J24"/>
  </mergeCells>
  <dataValidations count="9">
    <dataValidation type="list" allowBlank="1" showInputMessage="1" showErrorMessage="1" sqref="K19:K21" xr:uid="{08702C55-1F9F-4650-84A8-45E286850EB4}">
      <formula1>INDIRECT(J19)</formula1>
    </dataValidation>
    <dataValidation type="list" allowBlank="1" showInputMessage="1" showErrorMessage="1" sqref="K9" xr:uid="{7677197F-A19D-4D2E-9D38-8D797BFE583B}">
      <formula1>$BL$11:$BL$12</formula1>
    </dataValidation>
    <dataValidation type="list" allowBlank="1" showInputMessage="1" showErrorMessage="1" sqref="K12" xr:uid="{1D6FE08D-A3EB-40F9-B4D2-EB5BDEBDF133}">
      <formula1>$BL$19:$BL$20</formula1>
    </dataValidation>
    <dataValidation type="list" allowBlank="1" showInputMessage="1" showErrorMessage="1" sqref="K17" xr:uid="{A29736B8-6DD2-4BA2-98CC-CE830B259AD1}">
      <formula1>$BL$31:$BL$32</formula1>
    </dataValidation>
    <dataValidation type="list" allowBlank="1" showInputMessage="1" showErrorMessage="1" sqref="K23" xr:uid="{736D7352-B591-4A1E-9794-CF0BF49602AF}">
      <formula1>$BL$39:$BL$40</formula1>
    </dataValidation>
    <dataValidation type="list" allowBlank="1" showInputMessage="1" showErrorMessage="1" sqref="K24" xr:uid="{87F25DD7-9DB0-4B03-A017-ADE6003D9286}">
      <formula1>$BL$36:$BL$37</formula1>
    </dataValidation>
    <dataValidation type="list" allowBlank="1" showInputMessage="1" showErrorMessage="1" sqref="K10" xr:uid="{AD9D0E46-EA64-4A62-BFDC-5A33DA0CC2A6}">
      <formula1>$BL$14:$BL$15</formula1>
    </dataValidation>
    <dataValidation type="list" allowBlank="1" showInputMessage="1" showErrorMessage="1" sqref="K13" xr:uid="{B10630B6-49B9-465F-AA53-375E94C1F324}">
      <formula1>$BL$22:$BL$23</formula1>
    </dataValidation>
    <dataValidation type="list" allowBlank="1" showInputMessage="1" showErrorMessage="1" sqref="J19:J21" xr:uid="{3AEEB1AD-9C95-475C-A4C1-C0905C5423B1}">
      <formula1>$BJ$48:$BJ$49</formula1>
    </dataValidation>
  </dataValidation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096BE-8F08-4794-A32A-969D308D494C}">
  <dimension ref="A1:BH20"/>
  <sheetViews>
    <sheetView zoomScale="95" zoomScaleNormal="95" workbookViewId="0">
      <pane xSplit="3" ySplit="6" topLeftCell="AS7" activePane="bottomRight" state="frozen"/>
      <selection pane="topRight" activeCell="D1" sqref="D1"/>
      <selection pane="bottomLeft" activeCell="A7" sqref="A7"/>
      <selection pane="bottomRight" activeCell="BD16" sqref="BD16"/>
    </sheetView>
  </sheetViews>
  <sheetFormatPr baseColWidth="10" defaultColWidth="11.54296875" defaultRowHeight="14.5" x14ac:dyDescent="0.35"/>
  <cols>
    <col min="2" max="2" width="40.1796875" customWidth="1"/>
    <col min="3" max="3" width="20.54296875" customWidth="1"/>
    <col min="4" max="4" width="17.1796875" style="49" customWidth="1"/>
    <col min="5" max="5" width="14.1796875" style="49" customWidth="1"/>
    <col min="6" max="6" width="16.1796875" style="49" customWidth="1"/>
    <col min="7" max="7" width="16.26953125" style="49" customWidth="1"/>
    <col min="8" max="8" width="31" style="16" customWidth="1"/>
    <col min="9" max="9" width="38" style="16" customWidth="1"/>
    <col min="10" max="10" width="22.7265625" style="32" customWidth="1"/>
    <col min="11" max="11" width="29.81640625" style="16" customWidth="1"/>
    <col min="12" max="12" width="38.453125" style="16" customWidth="1"/>
    <col min="13" max="13" width="19.7265625" style="16" customWidth="1"/>
    <col min="14" max="14" width="17.1796875" style="16" customWidth="1"/>
    <col min="15" max="15" width="12.81640625" style="16" customWidth="1"/>
    <col min="16" max="16" width="19.26953125" customWidth="1"/>
    <col min="17" max="17" width="16" customWidth="1"/>
    <col min="18" max="18" width="10" customWidth="1"/>
    <col min="19" max="19" width="8.7265625" style="39" customWidth="1"/>
    <col min="20" max="20" width="7.7265625" style="6" customWidth="1"/>
    <col min="21" max="21" width="20.26953125" customWidth="1"/>
    <col min="22" max="22" width="8.7265625" style="32" customWidth="1"/>
    <col min="23" max="23" width="20.54296875" style="32" customWidth="1"/>
    <col min="24" max="24" width="8.7265625" style="32" customWidth="1"/>
    <col min="25" max="25" width="8.26953125" style="32" customWidth="1"/>
    <col min="26" max="26" width="13" style="39" customWidth="1"/>
    <col min="27" max="27" width="8.7265625" style="32" customWidth="1"/>
    <col min="28" max="28" width="8.453125" style="32" customWidth="1"/>
    <col min="29" max="29" width="19.54296875" style="32" customWidth="1"/>
    <col min="30" max="30" width="18.26953125" style="32" customWidth="1"/>
    <col min="31" max="31" width="31.26953125" style="32" customWidth="1"/>
    <col min="32" max="32" width="32.81640625" style="39" customWidth="1"/>
    <col min="33" max="33" width="32.81640625" style="32" customWidth="1"/>
    <col min="34" max="34" width="20.81640625" style="32" customWidth="1"/>
    <col min="35" max="35" width="14.26953125" customWidth="1"/>
    <col min="36" max="36" width="13.54296875" style="32" customWidth="1"/>
    <col min="37" max="37" width="14.1796875" style="32" customWidth="1"/>
    <col min="38" max="38" width="12.81640625" style="32" customWidth="1"/>
    <col min="39" max="39" width="18.7265625" style="32" customWidth="1"/>
    <col min="40" max="40" width="25.54296875" style="32" customWidth="1"/>
    <col min="41" max="41" width="17.453125" style="32" customWidth="1"/>
    <col min="42" max="42" width="16" style="32" customWidth="1"/>
    <col min="43" max="43" width="11.453125" style="32" customWidth="1"/>
    <col min="44" max="44" width="10" style="32" customWidth="1"/>
    <col min="45" max="45" width="13.453125" style="32" customWidth="1"/>
    <col min="46" max="46" width="11.26953125" style="32" customWidth="1"/>
    <col min="47" max="47" width="11.81640625" style="32" customWidth="1"/>
    <col min="48" max="48" width="12.453125" style="32" customWidth="1"/>
    <col min="49" max="49" width="12" style="32" customWidth="1"/>
    <col min="50" max="50" width="14.7265625" style="32" customWidth="1"/>
    <col min="51" max="51" width="21.1796875" style="32" customWidth="1"/>
    <col min="52" max="52" width="6" style="32" customWidth="1"/>
    <col min="53" max="53" width="10.26953125" style="161" customWidth="1"/>
    <col min="54" max="54" width="10.453125" style="161" customWidth="1"/>
    <col min="55" max="55" width="9.54296875" style="161" customWidth="1"/>
    <col min="56" max="60" width="9.26953125" style="161" customWidth="1"/>
  </cols>
  <sheetData>
    <row r="1" spans="1:60" ht="27" customHeight="1" x14ac:dyDescent="0.7">
      <c r="B1" s="37" t="s">
        <v>16</v>
      </c>
      <c r="C1" s="349" t="s">
        <v>519</v>
      </c>
      <c r="D1" s="349"/>
      <c r="E1" s="349"/>
      <c r="F1" s="349"/>
      <c r="G1" s="349"/>
      <c r="H1" s="349"/>
      <c r="I1" s="349"/>
      <c r="J1" s="349"/>
      <c r="K1" s="349"/>
      <c r="L1" s="349"/>
      <c r="M1" s="349"/>
      <c r="N1" s="349"/>
      <c r="O1" s="349"/>
      <c r="P1" s="350" t="s">
        <v>746</v>
      </c>
      <c r="Q1" s="350"/>
      <c r="R1" s="350"/>
      <c r="S1" s="350"/>
      <c r="T1" s="350"/>
      <c r="U1" s="350"/>
      <c r="V1" s="350"/>
      <c r="W1" s="350"/>
      <c r="X1" s="350"/>
      <c r="Y1" s="350"/>
      <c r="Z1" s="350"/>
      <c r="AA1" s="350"/>
      <c r="AB1" s="350"/>
      <c r="AC1" s="350"/>
      <c r="AD1" s="350"/>
      <c r="AE1" s="350"/>
      <c r="AF1" s="350"/>
      <c r="AG1" s="350"/>
      <c r="AH1" s="350"/>
      <c r="AI1" s="350" t="s">
        <v>747</v>
      </c>
      <c r="AJ1" s="350"/>
      <c r="AK1" s="350"/>
      <c r="AL1" s="350"/>
      <c r="AM1" s="350"/>
      <c r="AN1" s="160"/>
      <c r="AO1" s="160"/>
      <c r="AP1" s="160"/>
      <c r="AQ1" s="160"/>
      <c r="AR1" s="160"/>
      <c r="AS1" s="350" t="s">
        <v>13</v>
      </c>
      <c r="AT1" s="350"/>
      <c r="AU1" s="350"/>
      <c r="AV1" s="350"/>
      <c r="AW1" s="350"/>
      <c r="AX1" s="350"/>
      <c r="AY1" s="350"/>
      <c r="AZ1" s="350"/>
      <c r="BA1" s="160"/>
      <c r="BB1" s="160"/>
      <c r="BC1" s="160"/>
      <c r="BD1" s="160"/>
      <c r="BE1" s="160"/>
      <c r="BF1" s="160"/>
      <c r="BG1" s="160"/>
      <c r="BH1" s="160"/>
    </row>
    <row r="2" spans="1:60" ht="19.5" customHeight="1" x14ac:dyDescent="0.7">
      <c r="B2" s="37"/>
      <c r="E2" s="53"/>
      <c r="F2" s="53"/>
      <c r="G2" s="53"/>
      <c r="H2" s="48"/>
      <c r="I2" s="48"/>
      <c r="J2" s="104"/>
      <c r="K2" s="48"/>
      <c r="L2" s="48"/>
      <c r="M2" s="48"/>
      <c r="N2" s="108"/>
      <c r="O2" s="48"/>
      <c r="T2" s="2"/>
      <c r="U2" s="2"/>
      <c r="AI2" s="2"/>
      <c r="AW2" s="104"/>
    </row>
    <row r="3" spans="1:60" ht="18.75" customHeight="1" x14ac:dyDescent="0.7">
      <c r="B3" s="37"/>
      <c r="D3" s="126"/>
      <c r="E3" s="127"/>
      <c r="F3" s="127"/>
      <c r="G3" s="127"/>
      <c r="H3" s="128"/>
      <c r="I3" s="128"/>
      <c r="J3" s="129"/>
      <c r="K3" s="128"/>
      <c r="L3" s="128"/>
      <c r="M3" s="128"/>
      <c r="N3" s="128"/>
      <c r="O3" s="128"/>
      <c r="P3" s="9"/>
      <c r="Q3" s="9"/>
      <c r="R3" s="9"/>
      <c r="S3" s="130"/>
      <c r="T3" s="8"/>
      <c r="U3" s="8"/>
      <c r="V3" s="131"/>
      <c r="W3" s="131"/>
      <c r="X3" s="131"/>
      <c r="Y3" s="131"/>
      <c r="Z3" s="130"/>
      <c r="AA3" s="131"/>
      <c r="AB3" s="131"/>
      <c r="AC3" s="131"/>
      <c r="AD3" s="131"/>
      <c r="AE3" s="131"/>
      <c r="AF3" s="130"/>
      <c r="AG3" s="131"/>
      <c r="AH3" s="131"/>
      <c r="AI3" s="8"/>
      <c r="AJ3" s="131"/>
      <c r="AK3" s="131"/>
      <c r="AL3" s="131"/>
      <c r="AM3" s="131"/>
      <c r="AN3" s="131"/>
      <c r="AO3" s="131"/>
      <c r="AP3" s="131"/>
      <c r="AQ3" s="131"/>
      <c r="AR3" s="131"/>
      <c r="AS3" s="131"/>
      <c r="AT3" s="131"/>
      <c r="AU3" s="131"/>
      <c r="AV3" s="131"/>
      <c r="AW3" s="129"/>
      <c r="AX3" s="131"/>
      <c r="AY3" s="131"/>
      <c r="AZ3" s="113"/>
    </row>
    <row r="4" spans="1:60" ht="18.75" customHeight="1" x14ac:dyDescent="0.35">
      <c r="D4" s="351" t="s">
        <v>924</v>
      </c>
      <c r="E4" s="351"/>
      <c r="F4" s="351"/>
      <c r="G4" s="351"/>
      <c r="H4" s="352" t="s">
        <v>748</v>
      </c>
      <c r="I4" s="352"/>
      <c r="J4" s="352"/>
      <c r="K4" s="352"/>
      <c r="L4" s="351" t="s">
        <v>749</v>
      </c>
      <c r="M4" s="351"/>
      <c r="N4" s="351"/>
      <c r="O4" s="351"/>
      <c r="Q4" s="352" t="s">
        <v>750</v>
      </c>
      <c r="R4" s="352"/>
      <c r="S4" s="352"/>
      <c r="T4" s="352"/>
      <c r="V4" s="353" t="s">
        <v>751</v>
      </c>
      <c r="W4" s="353"/>
      <c r="X4" s="353"/>
      <c r="Y4" s="353"/>
      <c r="Z4" s="354" t="s">
        <v>752</v>
      </c>
      <c r="AA4" s="354"/>
      <c r="AB4" s="354"/>
      <c r="AC4" s="354"/>
      <c r="AD4" s="354"/>
      <c r="AE4" s="163" t="s">
        <v>753</v>
      </c>
      <c r="AF4" s="355" t="s">
        <v>754</v>
      </c>
      <c r="AG4" s="355"/>
      <c r="AH4" s="355"/>
      <c r="AJ4" s="356" t="s">
        <v>755</v>
      </c>
      <c r="AK4" s="356"/>
      <c r="AL4" s="356"/>
      <c r="AM4" s="356"/>
      <c r="AN4" s="356"/>
      <c r="AO4" s="357" t="s">
        <v>756</v>
      </c>
      <c r="AP4" s="357"/>
      <c r="AQ4" s="357"/>
      <c r="AR4" s="357"/>
      <c r="AS4" s="356" t="s">
        <v>757</v>
      </c>
      <c r="AT4" s="356"/>
      <c r="AU4" s="356"/>
      <c r="AV4" s="356"/>
      <c r="AW4" s="358" t="s">
        <v>758</v>
      </c>
      <c r="AX4" s="358"/>
      <c r="AY4" s="358"/>
      <c r="AZ4" s="179"/>
      <c r="BA4" s="180" t="s">
        <v>759</v>
      </c>
      <c r="BB4" s="181"/>
      <c r="BC4" s="181"/>
      <c r="BD4" s="181"/>
      <c r="BE4" s="124"/>
      <c r="BF4" s="124"/>
      <c r="BG4" s="124"/>
      <c r="BH4" s="124"/>
    </row>
    <row r="5" spans="1:60" x14ac:dyDescent="0.35">
      <c r="D5" s="13"/>
      <c r="E5" s="13"/>
      <c r="F5" s="13"/>
      <c r="G5" s="13"/>
      <c r="H5" s="156"/>
      <c r="I5" s="156"/>
      <c r="J5" s="156"/>
      <c r="K5" s="156"/>
      <c r="L5" s="13"/>
      <c r="M5" s="13"/>
      <c r="N5" s="13"/>
      <c r="O5" s="13"/>
      <c r="Q5" s="156"/>
      <c r="R5" s="156" t="s">
        <v>760</v>
      </c>
      <c r="S5" s="156"/>
      <c r="T5" s="156"/>
      <c r="V5" s="19"/>
      <c r="W5" s="19"/>
      <c r="X5" s="19"/>
      <c r="Y5" s="19"/>
      <c r="Z5" s="163"/>
      <c r="AA5" s="163"/>
      <c r="AB5" s="163"/>
      <c r="AC5" s="163"/>
      <c r="AD5" s="163"/>
      <c r="AE5" s="163"/>
      <c r="AG5" s="39"/>
      <c r="AH5" s="39"/>
      <c r="AJ5" s="162"/>
      <c r="AK5" s="162"/>
      <c r="AL5" s="162"/>
      <c r="AM5" s="162"/>
      <c r="AN5" s="162"/>
      <c r="AO5" s="161"/>
      <c r="AP5" s="161"/>
      <c r="AQ5" s="161"/>
      <c r="AR5" s="161"/>
      <c r="AS5" s="39"/>
      <c r="AT5" s="39"/>
      <c r="AU5" s="39"/>
      <c r="AV5" s="39"/>
      <c r="AW5" s="212" t="s">
        <v>688</v>
      </c>
      <c r="AX5" s="39" t="s">
        <v>689</v>
      </c>
      <c r="AY5" s="212" t="s">
        <v>690</v>
      </c>
      <c r="AZ5" s="114"/>
      <c r="BA5" s="182" t="s">
        <v>701</v>
      </c>
      <c r="BB5" s="182" t="s">
        <v>761</v>
      </c>
      <c r="BC5" s="182" t="s">
        <v>761</v>
      </c>
      <c r="BD5" s="182" t="s">
        <v>762</v>
      </c>
      <c r="BE5" s="39"/>
      <c r="BF5" s="39"/>
      <c r="BG5" s="39"/>
      <c r="BH5" s="39"/>
    </row>
    <row r="6" spans="1:60" s="27" customFormat="1" x14ac:dyDescent="0.35">
      <c r="D6" s="49" t="s">
        <v>711</v>
      </c>
      <c r="E6" s="49" t="s">
        <v>763</v>
      </c>
      <c r="F6" s="49" t="s">
        <v>764</v>
      </c>
      <c r="G6" s="49" t="s">
        <v>765</v>
      </c>
      <c r="H6" s="49" t="s">
        <v>707</v>
      </c>
      <c r="I6" s="49" t="s">
        <v>509</v>
      </c>
      <c r="J6" s="39" t="s">
        <v>508</v>
      </c>
      <c r="K6" s="49" t="s">
        <v>713</v>
      </c>
      <c r="L6" s="49" t="s">
        <v>711</v>
      </c>
      <c r="M6" s="49" t="s">
        <v>763</v>
      </c>
      <c r="N6" s="49" t="s">
        <v>764</v>
      </c>
      <c r="O6" s="49" t="s">
        <v>765</v>
      </c>
      <c r="Q6" s="49" t="s">
        <v>707</v>
      </c>
      <c r="R6" s="49" t="s">
        <v>509</v>
      </c>
      <c r="S6" s="39" t="s">
        <v>508</v>
      </c>
      <c r="T6" s="49" t="s">
        <v>713</v>
      </c>
      <c r="V6" s="39" t="s">
        <v>711</v>
      </c>
      <c r="W6" s="39" t="s">
        <v>766</v>
      </c>
      <c r="X6" s="39" t="s">
        <v>767</v>
      </c>
      <c r="Y6" s="39" t="s">
        <v>765</v>
      </c>
      <c r="Z6" s="49" t="s">
        <v>707</v>
      </c>
      <c r="AA6" s="49" t="s">
        <v>509</v>
      </c>
      <c r="AB6" s="39" t="s">
        <v>508</v>
      </c>
      <c r="AC6" s="49" t="s">
        <v>713</v>
      </c>
      <c r="AD6" s="49" t="s">
        <v>723</v>
      </c>
      <c r="AE6" s="49" t="s">
        <v>768</v>
      </c>
      <c r="AF6" s="49" t="s">
        <v>769</v>
      </c>
      <c r="AG6" s="49" t="s">
        <v>770</v>
      </c>
      <c r="AH6" s="49" t="s">
        <v>771</v>
      </c>
      <c r="AJ6" s="49" t="s">
        <v>707</v>
      </c>
      <c r="AK6" s="49" t="s">
        <v>509</v>
      </c>
      <c r="AL6" s="39" t="s">
        <v>508</v>
      </c>
      <c r="AM6" s="49" t="s">
        <v>713</v>
      </c>
      <c r="AN6" s="49" t="s">
        <v>723</v>
      </c>
      <c r="AO6" s="39" t="s">
        <v>772</v>
      </c>
      <c r="AP6" s="39" t="s">
        <v>764</v>
      </c>
      <c r="AQ6" s="39" t="s">
        <v>767</v>
      </c>
      <c r="AR6" s="39" t="s">
        <v>765</v>
      </c>
      <c r="AS6" s="49" t="s">
        <v>707</v>
      </c>
      <c r="AT6" s="49" t="s">
        <v>509</v>
      </c>
      <c r="AU6" s="39" t="s">
        <v>508</v>
      </c>
      <c r="AV6" s="49" t="s">
        <v>713</v>
      </c>
      <c r="AW6" s="212" t="s">
        <v>508</v>
      </c>
      <c r="AX6" s="39" t="s">
        <v>508</v>
      </c>
      <c r="AY6" s="212" t="s">
        <v>508</v>
      </c>
      <c r="AZ6" s="114"/>
      <c r="BA6" s="182" t="s">
        <v>509</v>
      </c>
      <c r="BB6" s="182" t="s">
        <v>773</v>
      </c>
      <c r="BC6" s="182" t="s">
        <v>774</v>
      </c>
      <c r="BD6" s="182" t="s">
        <v>713</v>
      </c>
      <c r="BE6" s="39"/>
      <c r="BF6" s="39"/>
      <c r="BG6" s="39"/>
      <c r="BH6" s="39"/>
    </row>
    <row r="7" spans="1:60" ht="29" x14ac:dyDescent="0.35">
      <c r="A7" s="20" t="s">
        <v>775</v>
      </c>
      <c r="B7" s="50" t="s">
        <v>776</v>
      </c>
      <c r="C7" s="51" t="s">
        <v>777</v>
      </c>
      <c r="D7" s="39">
        <f>'Données environnement'!E$119*'Données Production '!K$5*'Données Production '!K$8</f>
        <v>4.8655359999999996</v>
      </c>
      <c r="E7" s="39">
        <f>'Données environnement'!E$125*'Données Production '!K$5*'Données Production '!K$8/365</f>
        <v>9.7450082191780821E-2</v>
      </c>
      <c r="F7" s="39">
        <f>'Données environnement'!E$153</f>
        <v>0.4</v>
      </c>
      <c r="G7" s="39">
        <f>'Données environnement'!E$130*'Données Production '!K$5*'Données Production '!K$8/365</f>
        <v>6.8215057534246559E-2</v>
      </c>
      <c r="H7" s="173">
        <f>'Données environnement'!E$181*'Calcul simpl volaille'!E7*'Données environnement'!$J$36</f>
        <v>3.059932580821918E-4</v>
      </c>
      <c r="I7" s="39">
        <f>'Données environnement'!E$169*'Données Production '!K$5*'Données Production '!K$8/365</f>
        <v>0.18005415851835618</v>
      </c>
      <c r="J7" s="39">
        <f>'Données environnement'!$E$135*'Calcul simpl volaille'!G7*'Données environnement'!$J$31</f>
        <v>1.98096527079452E-2</v>
      </c>
      <c r="K7" s="39">
        <f>I7/'Données environnement'!$E$96*'Données environnement'!$E$97/'Données environnement'!J$28*'Données environnement'!J$29</f>
        <v>0.33502614570082201</v>
      </c>
      <c r="L7" s="39">
        <f>D7-(I7+K7)</f>
        <v>4.3504556957808216</v>
      </c>
      <c r="M7" s="49">
        <f>E7-(H7/'Données environnement'!J$36 + J7/'Données environnement'!J$31)</f>
        <v>8.0883568219178081E-2</v>
      </c>
      <c r="N7" s="39">
        <f>F7</f>
        <v>0.4</v>
      </c>
      <c r="O7" s="39">
        <f>'Données environnement'!$E$140*'Données Production '!$K$5*'Données Production '!$K$8/365</f>
        <v>5.388989545205479E-2</v>
      </c>
      <c r="P7" s="36" t="s">
        <v>778</v>
      </c>
      <c r="Q7" s="16"/>
      <c r="R7" s="49"/>
      <c r="S7" s="39">
        <f>'Données environnement'!E145*'Calcul simpl volaille'!O7*'Données environnement'!$J$31</f>
        <v>1.5649625639276708E-2</v>
      </c>
      <c r="T7" s="49">
        <f>R7/'Données environnement'!$E$96*'Données environnement'!$E$97</f>
        <v>0</v>
      </c>
      <c r="U7" s="34" t="s">
        <v>728</v>
      </c>
      <c r="V7" s="106">
        <f>L7-(R7/'Données environnement'!J$33 + 'Calcul simpl volaille'!T7/'Données environnement'!J$32)*'Données environnement'!J$37 - R7/'Données environnement'!J$34 - 'Calcul simpl volaille'!T7/'Données environnement'!J$35</f>
        <v>4.3504556957808216</v>
      </c>
      <c r="W7" s="106">
        <f>N7</f>
        <v>0.4</v>
      </c>
      <c r="X7" s="106">
        <f>M7-(Q7/'Données environnement'!J$36 + S7/'Données environnement'!J$31)</f>
        <v>6.7949993310684936E-2</v>
      </c>
      <c r="Y7" s="106">
        <f>O7-S7/'Données environnement'!J$31</f>
        <v>4.0956320543561645E-2</v>
      </c>
      <c r="Z7" s="193"/>
      <c r="AA7" s="194"/>
      <c r="AB7" s="194"/>
      <c r="AC7" s="194"/>
      <c r="AD7" s="194"/>
      <c r="AE7" s="194"/>
      <c r="AF7" s="194"/>
      <c r="AG7" s="194"/>
      <c r="AH7" s="194"/>
      <c r="AI7" s="34" t="s">
        <v>728</v>
      </c>
      <c r="AJ7" s="185"/>
      <c r="AK7" s="110"/>
      <c r="AL7" s="110"/>
      <c r="AM7" s="110"/>
      <c r="AN7" s="110"/>
      <c r="AO7" s="176">
        <f>V7-(AA7 + 'Calcul simpl volaille'!AC7)*'Données environnement'!J$37</f>
        <v>4.3504556957808216</v>
      </c>
      <c r="AP7" s="176">
        <f t="shared" ref="AP7:AP16" si="0">N7</f>
        <v>0.4</v>
      </c>
      <c r="AQ7" s="176">
        <f>X7-Z7/'Données environnement'!J$36-'Calcul simpl volaille'!AB7/'Données environnement'!J$31</f>
        <v>6.7949993310684936E-2</v>
      </c>
      <c r="AR7" s="176">
        <f>Y7-AB7/'Données environnement'!J$31</f>
        <v>4.0956320543561645E-2</v>
      </c>
      <c r="AS7" s="183"/>
      <c r="AT7" s="177"/>
      <c r="AU7" s="177">
        <f>AR7*0.24*'Données environnement'!$J$31</f>
        <v>1.1893715485850302E-2</v>
      </c>
      <c r="AV7" s="177">
        <f>AT7/'Données environnement'!J$28/'Données environnement'!E$96*'Données environnement'!E$97*'Données environnement'!J$29</f>
        <v>0</v>
      </c>
      <c r="AW7" s="213">
        <f>$AQ7*'Données environnement'!BC$251*'Données environnement'!J$31</f>
        <v>1.6443898381185755E-2</v>
      </c>
      <c r="AX7" s="161">
        <f>(AR7-AU7/'Données environnement'!$J$31)*0.54*0.525*'Données environnement'!J$31</f>
        <v>1.067758307742211E-2</v>
      </c>
      <c r="AY7" s="212">
        <f>AQ7*'Données environnement'!BC$253*'Données environnement'!J$31</f>
        <v>4.1109745952964388E-3</v>
      </c>
      <c r="AZ7" s="114"/>
      <c r="BA7" s="39">
        <f>(I7+R7+AA7+AK7+AT7)*'Données environnement'!$J$12</f>
        <v>4.8974731116992878</v>
      </c>
      <c r="BB7" s="173">
        <f>(H7+Q7+Z7+AJ7+AS7)*'Données environnement'!$J$14</f>
        <v>8.3536159456438358E-2</v>
      </c>
      <c r="BC7" s="39">
        <f>(J7+S7+AB7+AL7+AU7+AX7)*14/17*'Données environnement'!$J$15*44/28*'Données environnement'!$J$14</f>
        <v>0.20501861466142879</v>
      </c>
      <c r="BD7" s="188">
        <f>BA7+BB7+BC7</f>
        <v>5.1860278858171558</v>
      </c>
      <c r="BE7" s="188"/>
      <c r="BF7" s="188"/>
      <c r="BG7" s="188"/>
      <c r="BH7" s="188"/>
    </row>
    <row r="8" spans="1:60" s="21" customFormat="1" ht="18.5" x14ac:dyDescent="0.35">
      <c r="A8" s="20" t="s">
        <v>779</v>
      </c>
      <c r="B8" s="16"/>
      <c r="C8" s="16"/>
      <c r="D8" s="39">
        <f>'Données environnement'!E$119*'Données Production '!K$5*'Données Production '!K$8</f>
        <v>4.8655359999999996</v>
      </c>
      <c r="E8" s="39">
        <f>'Données environnement'!E$125*'Données Production '!K$5*'Données Production '!K$8/365</f>
        <v>9.7450082191780821E-2</v>
      </c>
      <c r="F8" s="39">
        <f>'Données environnement'!E$153</f>
        <v>0.4</v>
      </c>
      <c r="G8" s="39">
        <f>'Données environnement'!E$130*'Données Production '!K$5*'Données Production '!K$8/365</f>
        <v>6.8215057534246559E-2</v>
      </c>
      <c r="H8" s="173">
        <f>0.35*'Données environnement'!E$181*'Calcul simpl volaille'!E8*'Données environnement'!$J$36</f>
        <v>1.0709764032876712E-4</v>
      </c>
      <c r="I8" s="39">
        <f>0.021*'Données Production '!K$5*'Données Production '!K$8/365</f>
        <v>1.3734575342465756E-2</v>
      </c>
      <c r="J8" s="39">
        <f>J7*'Données environnement'!D$173</f>
        <v>1.3866756895561638E-2</v>
      </c>
      <c r="K8" s="39">
        <f>I8/'Données environnement'!$E$96*'Données environnement'!$E$97/'Données environnement'!J$28*'Données environnement'!J$29</f>
        <v>2.5555876507871608E-2</v>
      </c>
      <c r="L8" s="39">
        <f t="shared" ref="L8:L16" si="1">D8-(I8+K8)</f>
        <v>4.8262455481496627</v>
      </c>
      <c r="M8" s="49">
        <f>E8-(H8/'Données environnement'!J$36 + J8/'Données environnement'!J$31)</f>
        <v>8.5921737468493159E-2</v>
      </c>
      <c r="N8" s="39">
        <f t="shared" ref="N8:N16" si="2">F8</f>
        <v>0.4</v>
      </c>
      <c r="O8" s="114">
        <f>'Données environnement'!$E$140*'Données Production '!$K$5*'Données Production '!$K$8/365</f>
        <v>5.388989545205479E-2</v>
      </c>
      <c r="P8" s="159" t="s">
        <v>780</v>
      </c>
      <c r="Q8" s="16"/>
      <c r="R8" s="16"/>
      <c r="S8" s="39"/>
      <c r="T8" s="49"/>
      <c r="U8" s="171" t="s">
        <v>781</v>
      </c>
      <c r="V8" s="106">
        <f>L8-(R8/'Données environnement'!J$33 + 'Calcul simpl volaille'!T8/'Données environnement'!J$32)*'Données environnement'!J$37 - R8/'Données environnement'!J$34 - 'Calcul simpl volaille'!T8/'Données environnement'!J$35</f>
        <v>4.8262455481496627</v>
      </c>
      <c r="W8" s="106">
        <f>N8</f>
        <v>0.4</v>
      </c>
      <c r="X8" s="106">
        <f>M8-(Q8/'Données environnement'!J$36 + S8/'Données environnement'!J$31)</f>
        <v>8.5921737468493159E-2</v>
      </c>
      <c r="Y8" s="106">
        <f>O8-S8/'Données environnement'!J$31</f>
        <v>5.388989545205479E-2</v>
      </c>
      <c r="Z8" s="173">
        <f>M8*'Données environnement'!$J$49*44/28*('Données environnement'!$J$47+(1-'Données environnement'!$J$48))</f>
        <v>1.012649048735812E-4</v>
      </c>
      <c r="AA8" s="107">
        <f>('Données environnement'!$J$47+(1-'Données environnement'!J48))*AF8*'Données environnement'!$J$28 + 'Données environnement'!$AF$254*AH8*'Données environnement'!J$58</f>
        <v>5.6317929055925087E-2</v>
      </c>
      <c r="AB8" s="107">
        <f>'Données environnement'!J$47*AH8*'Données environnement'!J$50*'Données environnement'!J$52</f>
        <v>3.4057206084776123E-6</v>
      </c>
      <c r="AC8" s="107">
        <f>AA8/'Données environnement'!J$28/'Données environnement'!E$96*'Données environnement'!E$97*'Données environnement'!J$29</f>
        <v>0.10479057446226857</v>
      </c>
      <c r="AD8" s="107">
        <f>(V8)/'Données environnement'!E$113/1000*'Données environnement'!J$45*'Données environnement'!AJ$254</f>
        <v>2.5616226370948202E-2</v>
      </c>
      <c r="AE8" s="107"/>
      <c r="AF8" s="39">
        <f>W8*V8*'Données Production '!B$29</f>
        <v>0.55984448358536087</v>
      </c>
      <c r="AG8" s="107">
        <f>AF8/'Données environnement'!E$96*'Données environnement'!E$97</f>
        <v>0.37322965572357392</v>
      </c>
      <c r="AH8" s="107">
        <f>AF8+AG8</f>
        <v>0.93307413930893479</v>
      </c>
      <c r="AI8" s="119" t="s">
        <v>546</v>
      </c>
      <c r="AJ8" s="186">
        <f>AH8*(1-'Données environnement'!J$58-'Données environnement'!J$47)*'Données environnement'!AM$252</f>
        <v>0</v>
      </c>
      <c r="AK8" s="191">
        <f>(AH8)*(1-'Données environnement'!J$58-'Données environnement'!J$47-(1-'Données environnement'!J48))*'Données environnement'!AQ$252</f>
        <v>3.198204919895305E-3</v>
      </c>
      <c r="AL8" s="109">
        <v>0</v>
      </c>
      <c r="AM8" s="161">
        <f>AK8/'Données environnement'!J$28/'Données environnement'!E$96*'Données environnement'!E$97*'Données environnement'!J$32</f>
        <v>1.1668409326317863E-2</v>
      </c>
      <c r="AN8" s="161"/>
      <c r="AO8" s="161">
        <f>V8-('Calcul simpl volaille'!AF8*'Données environnement'!J28+ 'Calcul simpl volaille'!AG8*'Données environnement'!J29+AK8+AM8)</f>
        <v>3.7383436736981741</v>
      </c>
      <c r="AP8" s="39">
        <f t="shared" si="0"/>
        <v>0.4</v>
      </c>
      <c r="AQ8" s="39">
        <f>X8-Z8/'Données environnement'!J$36-'Calcul simpl volaille'!AB8/'Données environnement'!J$31</f>
        <v>8.5854422883952258E-2</v>
      </c>
      <c r="AR8" s="39">
        <f>Y8-AB8/'Données environnement'!J$31</f>
        <v>5.3887080806923816E-2</v>
      </c>
      <c r="AS8" s="184">
        <f>AQ8*'Données environnement'!AV$251*'Données environnement'!J$36</f>
        <v>0</v>
      </c>
      <c r="AT8" s="161">
        <f>AP8*AO8*'Données environnement'!J28*'Données environnement'!J74</f>
        <v>2.0839022974663106E-2</v>
      </c>
      <c r="AU8" s="177">
        <f>AR8*0.24*'Données environnement'!$J$31</f>
        <v>1.5648808266330676E-2</v>
      </c>
      <c r="AV8" s="161">
        <f>AT8/'Données environnement'!J$28/'Données environnement'!E$96*'Données environnement'!E$97*'Données environnement'!J$29</f>
        <v>3.877509747524379E-2</v>
      </c>
      <c r="AW8" s="213">
        <f>AQ8*'Données environnement'!BC$251*'Données environnement'!J$31</f>
        <v>2.0776770337916448E-2</v>
      </c>
      <c r="AX8" s="210">
        <f>(AR8-AU8/'Données environnement'!$J$31)*0.54*0.525*'Données environnement'!J$31</f>
        <v>1.4048717621098364E-2</v>
      </c>
      <c r="AY8" s="212">
        <f>AQ8*'Données environnement'!BC$253*'Données environnement'!J$31</f>
        <v>5.1941925844791121E-3</v>
      </c>
      <c r="AZ8" s="114"/>
      <c r="BA8" s="39">
        <f>(I8+R8+AA8+AK8+AT8)*'Données environnement'!$J$12</f>
        <v>2.5592407183682195</v>
      </c>
      <c r="BB8" s="173">
        <f>(H8+Q8+Z8+AJ8+AS8)*'Données environnement'!$J$14</f>
        <v>5.6882974840241095E-2</v>
      </c>
      <c r="BC8" s="39">
        <f>(J8+S8+AB8+AL8+AU8+AX8)*14/17*'Données environnement'!$J$15*44/28*'Données environnement'!$J$14</f>
        <v>0.15392208067800969</v>
      </c>
      <c r="BD8" s="188">
        <f t="shared" ref="BD8:BD15" si="3">BA8+BB8+BC8</f>
        <v>2.7700457738864706</v>
      </c>
      <c r="BE8" s="188"/>
      <c r="BF8" s="188"/>
      <c r="BG8" s="188"/>
      <c r="BH8" s="188"/>
    </row>
    <row r="9" spans="1:60" ht="29" x14ac:dyDescent="0.35">
      <c r="A9" s="20" t="s">
        <v>782</v>
      </c>
      <c r="B9" s="50" t="s">
        <v>783</v>
      </c>
      <c r="C9" s="51" t="s">
        <v>777</v>
      </c>
      <c r="D9" s="39">
        <f>'Données environnement'!E$118*'Données Production '!J$5*'Données Production '!J$8</f>
        <v>3.3597999999999999</v>
      </c>
      <c r="E9" s="39">
        <f>'Données environnement'!E$124*'Données Production '!J$5*'Données Production '!J$8/365</f>
        <v>1.7029123287671231E-2</v>
      </c>
      <c r="F9" s="39">
        <f>'Données environnement'!E$152</f>
        <v>0.38</v>
      </c>
      <c r="G9" s="39">
        <f>'Données environnement'!E$129*'Données Production '!J$5*'Données Production '!J$8/365</f>
        <v>1.1920386301369859E-2</v>
      </c>
      <c r="H9" s="173">
        <f>'Données environnement'!E$181*'Calcul simpl volaille'!E9*'Données environnement'!$J$36</f>
        <v>5.3471447123287671E-5</v>
      </c>
      <c r="I9" s="39">
        <f>'Données environnement'!E$168*'Données Production '!J$5*'Données Production '!J$8/365</f>
        <v>0.11811620830684934</v>
      </c>
      <c r="J9" s="39">
        <f>'Données environnement'!E$134*'Calcul simpl volaille'!G$9*'Données environnement'!$J$31</f>
        <v>3.4616801819178067E-3</v>
      </c>
      <c r="K9" s="39">
        <f>I9/'Données environnement'!$E$96*'Données environnement'!$E$97/'Données environnement'!J$28*'Données environnement'!J$29</f>
        <v>0.21977841744657539</v>
      </c>
      <c r="L9" s="39">
        <f t="shared" si="1"/>
        <v>3.0219053742465753</v>
      </c>
      <c r="M9" s="49">
        <f>E9-(H9/'Données environnement'!J$36 + J9/'Données environnement'!J$31)</f>
        <v>1.4134172328767122E-2</v>
      </c>
      <c r="N9" s="39">
        <f t="shared" si="2"/>
        <v>0.38</v>
      </c>
      <c r="O9" s="39">
        <f>'Données environnement'!$E$139*'Données Production '!$J$5*'Données Production '!$J$8/365</f>
        <v>9.4171051780821899E-3</v>
      </c>
      <c r="P9" s="36" t="s">
        <v>778</v>
      </c>
      <c r="Q9" s="16"/>
      <c r="R9" s="49"/>
      <c r="S9" s="39">
        <f>'Données environnement'!E144*O9*'Données environnement'!J31</f>
        <v>2.7347273437150679E-3</v>
      </c>
      <c r="T9" s="49">
        <f>R9/'Données environnement'!$E$96*'Données environnement'!$E$97</f>
        <v>0</v>
      </c>
      <c r="U9" s="34" t="s">
        <v>728</v>
      </c>
      <c r="V9" s="106">
        <f>L9-(R9/'Données environnement'!J$33 + 'Calcul simpl volaille'!T9/'Données environnement'!J$32)*'Données environnement'!J$37 - R9/'Données environnement'!J$34 - 'Calcul simpl volaille'!T9/'Données environnement'!J$35</f>
        <v>3.0219053742465753</v>
      </c>
      <c r="W9" s="106">
        <f>N9</f>
        <v>0.38</v>
      </c>
      <c r="X9" s="106">
        <f>M9-(Q9/'Données environnement'!J$36 + S9/'Données environnement'!J$31)</f>
        <v>1.1874067086027396E-2</v>
      </c>
      <c r="Y9" s="106">
        <f>O9-S9/'Données environnement'!J$31</f>
        <v>7.1569999353424639E-3</v>
      </c>
      <c r="Z9" s="173"/>
      <c r="AA9" s="194"/>
      <c r="AB9" s="194"/>
      <c r="AC9" s="195"/>
      <c r="AD9" s="194"/>
      <c r="AE9" s="194"/>
      <c r="AF9" s="194"/>
      <c r="AG9" s="194"/>
      <c r="AH9" s="194"/>
      <c r="AI9" s="34" t="s">
        <v>728</v>
      </c>
      <c r="AJ9" s="185"/>
      <c r="AK9" s="110"/>
      <c r="AL9" s="110"/>
      <c r="AM9" s="110"/>
      <c r="AN9" s="110"/>
      <c r="AO9" s="176">
        <f>V9-(AA9 + 'Calcul simpl volaille'!AC9)*'Données environnement'!J$37</f>
        <v>3.0219053742465753</v>
      </c>
      <c r="AP9" s="176">
        <f t="shared" si="0"/>
        <v>0.38</v>
      </c>
      <c r="AQ9" s="176">
        <f>X9-Z9/'Données environnement'!J$36-'Calcul simpl volaille'!AB9/'Données environnement'!J$31</f>
        <v>1.1874067086027396E-2</v>
      </c>
      <c r="AR9" s="176">
        <f>Y9-AB9/'Données environnement'!J$31</f>
        <v>7.1569999353424639E-3</v>
      </c>
      <c r="AS9" s="183"/>
      <c r="AT9" s="177"/>
      <c r="AU9" s="177">
        <f>AR9*0.24*'Données environnement'!$J$31</f>
        <v>2.0783927812234515E-3</v>
      </c>
      <c r="AV9" s="177">
        <f>AT9/'Données environnement'!J$28/'Données environnement'!E$96*'Données environnement'!E$97*'Données environnement'!J$29</f>
        <v>0</v>
      </c>
      <c r="AW9" s="213">
        <f>AQ9*'Données environnement'!BC$251*'Données environnement'!J$31</f>
        <v>2.8735242348186299E-3</v>
      </c>
      <c r="AX9" s="210">
        <f>(AR9-AU9/'Données environnement'!$J$31)*0.54*0.525*'Données environnement'!J$31</f>
        <v>1.8658771193433537E-3</v>
      </c>
      <c r="AY9" s="212">
        <f>AQ9*'Données environnement'!BC$253*'Données environnement'!J$31</f>
        <v>7.1838105870465749E-4</v>
      </c>
      <c r="AZ9" s="114"/>
      <c r="BA9" s="39">
        <f>(I9+R9+AA9+AK9+AT9)*'Données environnement'!$J$12</f>
        <v>3.2127608659463021</v>
      </c>
      <c r="BB9" s="173">
        <f>(H9+Q9+Z9+AJ9+AS9)*'Données environnement'!$J$14</f>
        <v>1.4597705064657534E-2</v>
      </c>
      <c r="BC9" s="39">
        <f>(J9+S9+AB9+AL9+AU9+AX9)*14/17*'Données environnement'!$J$15*44/28*'Données environnement'!$J$14</f>
        <v>3.5826416836326647E-2</v>
      </c>
      <c r="BD9" s="188">
        <f t="shared" si="3"/>
        <v>3.2631849878472861</v>
      </c>
      <c r="BE9" s="188"/>
      <c r="BF9" s="188"/>
      <c r="BG9" s="188"/>
      <c r="BH9" s="188"/>
    </row>
    <row r="10" spans="1:60" s="21" customFormat="1" ht="18.5" x14ac:dyDescent="0.35">
      <c r="A10" s="20" t="s">
        <v>784</v>
      </c>
      <c r="B10" s="16"/>
      <c r="C10" s="16"/>
      <c r="D10" s="39">
        <f>'Données environnement'!E$118*'Données Production '!J$5*'Données Production '!J$8</f>
        <v>3.3597999999999999</v>
      </c>
      <c r="E10" s="39">
        <f>'Données environnement'!E$124*'Données Production '!J$5*'Données Production '!J$8/365</f>
        <v>1.7029123287671231E-2</v>
      </c>
      <c r="F10" s="39">
        <f>'Données environnement'!E$152</f>
        <v>0.38</v>
      </c>
      <c r="G10" s="39">
        <f>'Données environnement'!E$129*'Données Production '!J$5*'Données Production '!J$8/365</f>
        <v>1.1920386301369859E-2</v>
      </c>
      <c r="H10" s="173">
        <f>0.2*'Données environnement'!E$181*'Calcul simpl volaille'!E10*'Données environnement'!$J$36</f>
        <v>1.0694289424657534E-5</v>
      </c>
      <c r="I10" s="39">
        <f>0.01*'Données Production '!J$5*'Données Production '!J$8/365</f>
        <v>4.6024657534246578E-3</v>
      </c>
      <c r="J10" s="39">
        <f>J9*'Données environnement'!D$173</f>
        <v>2.4231761273424647E-3</v>
      </c>
      <c r="K10" s="39">
        <f>I10/'Données environnement'!$E$96*'Données environnement'!$E$97/'Données environnement'!J$28*'Données environnement'!J$29</f>
        <v>8.5637919989095621E-3</v>
      </c>
      <c r="L10" s="39">
        <f t="shared" si="1"/>
        <v>3.3466337422476657</v>
      </c>
      <c r="M10" s="49">
        <f>E10-(H10/'Données environnement'!J$36 + J10/'Données environnement'!J$31)</f>
        <v>1.5019686739726026E-2</v>
      </c>
      <c r="N10" s="39">
        <f t="shared" si="2"/>
        <v>0.38</v>
      </c>
      <c r="O10" s="114">
        <f>'Données environnement'!$E$139*'Données Production '!$J$5*'Données Production '!$J$8/365</f>
        <v>9.4171051780821899E-3</v>
      </c>
      <c r="P10" s="178" t="s">
        <v>780</v>
      </c>
      <c r="Q10" s="16"/>
      <c r="R10" s="16"/>
      <c r="S10" s="39"/>
      <c r="T10" s="49"/>
      <c r="U10" s="171" t="s">
        <v>781</v>
      </c>
      <c r="V10" s="106">
        <f>L10-(R10/'Données environnement'!J$33 + 'Calcul simpl volaille'!T10/'Données environnement'!J$32)*'Données environnement'!J$37 - R10/'Données environnement'!J$34 - 'Calcul simpl volaille'!T10/'Données environnement'!J$35</f>
        <v>3.3466337422476657</v>
      </c>
      <c r="W10" s="106">
        <f t="shared" ref="W10" si="4">N10</f>
        <v>0.38</v>
      </c>
      <c r="X10" s="106">
        <f>M10-(Q10/'Données environnement'!J$36 + S10/'Données environnement'!J$31)</f>
        <v>1.5019686739726026E-2</v>
      </c>
      <c r="Y10" s="106">
        <f>O10-S10/'Données environnement'!J$31</f>
        <v>9.4171051780821899E-3</v>
      </c>
      <c r="Z10" s="173">
        <f>M10*'Données environnement'!$J$49*44/28*('Données environnement'!$J$47+(1-'Données environnement'!$J$48))</f>
        <v>1.7701773657534238E-5</v>
      </c>
      <c r="AA10" s="107">
        <f>('Données environnement'!$J$47+(1-'Données environnement'!J48))*AF10*'Données environnement'!$J$28 + 'Données environnement'!$AF$254*AH10*'Données environnement'!J$58</f>
        <v>3.7099585133440298E-2</v>
      </c>
      <c r="AB10" s="107">
        <f>'Données environnement'!J$47*AH10*'Données environnement'!J$50*'Données environnement'!J$52</f>
        <v>2.243527483573798E-6</v>
      </c>
      <c r="AC10" s="107">
        <f>AA10/'Données environnement'!J$28/'Données environnement'!E$96*'Données environnement'!E$97*'Données environnement'!J$29</f>
        <v>6.9031068855257074E-2</v>
      </c>
      <c r="AD10" s="107">
        <f>(V10)/'Données environnement'!E$113/1000*'Données environnement'!J$45*'Données environnement'!AJ$254</f>
        <v>1.7762902170391455E-2</v>
      </c>
      <c r="AE10" s="107"/>
      <c r="AF10" s="39">
        <f>W10*V10*'Données Production '!B$29</f>
        <v>0.36879903839569272</v>
      </c>
      <c r="AG10" s="107">
        <f>AF10/'Données environnement'!E$96*'Données environnement'!E$97</f>
        <v>0.24586602559712853</v>
      </c>
      <c r="AH10" s="107">
        <f>AF10+AG10</f>
        <v>0.61466506399282128</v>
      </c>
      <c r="AI10" s="119" t="s">
        <v>546</v>
      </c>
      <c r="AJ10" s="186">
        <f>AH10*(1-'Données environnement'!J$58-'Données environnement'!J$47)*'Données environnement'!AM$252</f>
        <v>0</v>
      </c>
      <c r="AK10" s="191">
        <f>(AH10)*(1-'Données environnement'!J$58-'Données environnement'!J$47-(1-'Données environnement'!$J$48))*'Données environnement'!AQ$252</f>
        <v>2.1068259733417944E-3</v>
      </c>
      <c r="AL10" s="109">
        <v>0</v>
      </c>
      <c r="AM10" s="161">
        <f>AK10/'Données environnement'!J$28/'Données environnement'!E$96*'Données environnement'!E$97*'Données environnement'!J$32</f>
        <v>7.6865955909650868E-3</v>
      </c>
      <c r="AN10" s="161"/>
      <c r="AO10" s="161">
        <f>V10-('Calcul simpl volaille'!AF10*'Données environnement'!J28 + 'Calcul simpl volaille'!AG10*'Données environnement'!J29+AK10+AM10)</f>
        <v>2.6299754970916145</v>
      </c>
      <c r="AP10" s="39">
        <f t="shared" si="0"/>
        <v>0.38</v>
      </c>
      <c r="AQ10" s="39">
        <f>X10-Z10/'Données environnement'!J$36-'Calcul simpl volaille'!AB10/'Données environnement'!J$31</f>
        <v>1.500655756971243E-2</v>
      </c>
      <c r="AR10" s="39">
        <f>Y10-AB10/'Données environnement'!J$31</f>
        <v>9.4152510231370872E-3</v>
      </c>
      <c r="AS10" s="184">
        <f>AQ10*'Données environnement'!AV$251*'Données environnement'!J$36</f>
        <v>0</v>
      </c>
      <c r="AT10" s="161">
        <f>AP10*AO10*'Données environnement'!J74*'Données environnement'!J28</f>
        <v>1.3927508640438123E-2</v>
      </c>
      <c r="AU10" s="177">
        <f>AR10*0.24*'Données environnement'!$J$31</f>
        <v>2.7341888971190095E-3</v>
      </c>
      <c r="AV10" s="161">
        <f>AT10/'Données environnement'!J$28/'Données environnement'!E$96*'Données environnement'!E$97*'Données environnement'!J$29</f>
        <v>2.5914866823501782E-2</v>
      </c>
      <c r="AW10" s="213">
        <f>AQ10*'Données environnement'!BC$251*'Données environnement'!J$31</f>
        <v>3.6315869318704081E-3</v>
      </c>
      <c r="AX10" s="210">
        <f>(AR10-AU10/'Données environnement'!$J$31)*0.54*0.525*'Données environnement'!J$31</f>
        <v>2.4546180823885916E-3</v>
      </c>
      <c r="AY10" s="212">
        <f>AQ10*'Données environnement'!BC$253*'Données environnement'!J$31</f>
        <v>9.0789673296760203E-4</v>
      </c>
      <c r="AZ10" s="114"/>
      <c r="BA10" s="39">
        <f>(I10+R10+AA10+AK10+AT10)*'Données environnement'!$J$12</f>
        <v>1.5704296856175406</v>
      </c>
      <c r="BB10" s="173">
        <f>(H10+Q10+Z10+AJ10+AS10)*'Données environnement'!$J$14</f>
        <v>7.7521252214383532E-3</v>
      </c>
      <c r="BC10" s="39">
        <f>(J10+S10+AB10+AL10+AU10+AX10)*14/17*'Données environnement'!$J$15*44/28*'Données environnement'!$J$14</f>
        <v>2.6900614803416375E-2</v>
      </c>
      <c r="BD10" s="188">
        <f t="shared" si="3"/>
        <v>1.6050824256423952</v>
      </c>
      <c r="BE10" s="188"/>
      <c r="BF10" s="188"/>
      <c r="BG10" s="188"/>
      <c r="BH10" s="188"/>
    </row>
    <row r="11" spans="1:60" s="21" customFormat="1" ht="29" x14ac:dyDescent="0.35">
      <c r="A11" s="20" t="s">
        <v>785</v>
      </c>
      <c r="B11" s="50" t="s">
        <v>786</v>
      </c>
      <c r="C11" s="16" t="s">
        <v>728</v>
      </c>
      <c r="D11" s="39">
        <f>'Données environnement'!E$116*'Données Production '!H$5*'Données Production '!H$8</f>
        <v>2.5559999999999996</v>
      </c>
      <c r="E11" s="39">
        <f>'Données environnement'!E$122*'Données Production '!H$5*'Données Production '!H$8/365</f>
        <v>3.4313424657534244E-2</v>
      </c>
      <c r="F11" s="39">
        <f>'Données environnement'!E$150</f>
        <v>0.36</v>
      </c>
      <c r="G11" s="39">
        <f>'Données environnement'!E$127*'Données Production '!H$5*'Données Production '!H$8/365</f>
        <v>2.4019397260273967E-2</v>
      </c>
      <c r="H11" s="173">
        <f>'Données environnement'!E$181*'Calcul simpl volaille'!E11*'Données environnement'!$J$36</f>
        <v>1.0774415342465753E-4</v>
      </c>
      <c r="I11" s="39">
        <f>'Données environnement'!E$162*'Données Production '!H$5*'Données Production '!H$8/365</f>
        <v>9.120928438356166E-3</v>
      </c>
      <c r="J11" s="39">
        <f>'Données environnement'!E$132*G11*'Données environnement'!J$31</f>
        <v>8.13777179178082E-3</v>
      </c>
      <c r="K11" s="39">
        <f>I11/'Données environnement'!$E$96*'Données environnement'!$E$97/'Données environnement'!J$28*'Données environnement'!J$29</f>
        <v>1.6971279780821923E-2</v>
      </c>
      <c r="L11" s="39">
        <f t="shared" si="1"/>
        <v>2.5299077917808215</v>
      </c>
      <c r="M11" s="49">
        <f>E11-(H11/'Données environnement'!J$36 + J11/'Données environnement'!J$31)</f>
        <v>2.7519366575342465E-2</v>
      </c>
      <c r="N11" s="39">
        <f t="shared" si="2"/>
        <v>0.36</v>
      </c>
      <c r="O11" s="39">
        <f>'Données environnement'!$E$137*'Données Production '!$H$5*'Données Production '!$H$8/365</f>
        <v>1.6333190136986298E-2</v>
      </c>
      <c r="P11" s="348" t="s">
        <v>787</v>
      </c>
      <c r="Q11" s="16"/>
      <c r="R11" s="16"/>
      <c r="S11" s="39">
        <f>'Données environnement'!E$142*'Calcul simpl volaille'!O11*'Données environnement'!J$31</f>
        <v>3.3597372111780818E-3</v>
      </c>
      <c r="T11" s="49">
        <f>R11/'Données environnement'!$E$96*'Données environnement'!$E$97</f>
        <v>0</v>
      </c>
      <c r="U11" s="34" t="s">
        <v>728</v>
      </c>
      <c r="V11" s="106">
        <f>L11-(R11/'Données environnement'!J$33 + 'Calcul simpl volaille'!T11/'Données environnement'!J$32)*'Données environnement'!J$37 - R11/'Données environnement'!J$34 - 'Calcul simpl volaille'!T11/'Données environnement'!J$35</f>
        <v>2.5299077917808215</v>
      </c>
      <c r="W11" s="106">
        <f t="shared" ref="W11:W13" si="5">N11</f>
        <v>0.36</v>
      </c>
      <c r="X11" s="106">
        <f>M11-(Q11/'Données environnement'!J$36 + S11/'Données environnement'!J$31)</f>
        <v>2.4742724252054794E-2</v>
      </c>
      <c r="Y11" s="106">
        <f>O11-S11/'Données environnement'!J$31</f>
        <v>1.3556547813698628E-2</v>
      </c>
      <c r="Z11" s="173"/>
      <c r="AA11" s="194"/>
      <c r="AB11" s="194"/>
      <c r="AC11" s="195"/>
      <c r="AD11" s="194"/>
      <c r="AE11" s="194"/>
      <c r="AF11" s="194"/>
      <c r="AG11" s="194"/>
      <c r="AH11" s="194"/>
      <c r="AI11" s="34" t="s">
        <v>728</v>
      </c>
      <c r="AJ11" s="185"/>
      <c r="AK11" s="192"/>
      <c r="AL11" s="110"/>
      <c r="AM11" s="110"/>
      <c r="AN11" s="110"/>
      <c r="AO11" s="176">
        <f>V11-(AA11 + 'Calcul simpl volaille'!AC11)*'Données environnement'!J$37</f>
        <v>2.5299077917808215</v>
      </c>
      <c r="AP11" s="176">
        <f t="shared" si="0"/>
        <v>0.36</v>
      </c>
      <c r="AQ11" s="176">
        <f>X11-Z11/'Données environnement'!J$36-'Calcul simpl volaille'!AB11/'Données environnement'!J$31</f>
        <v>2.4742724252054794E-2</v>
      </c>
      <c r="AR11" s="176">
        <f>Y11-AB11/'Données environnement'!J$31</f>
        <v>1.3556547813698628E-2</v>
      </c>
      <c r="AS11" s="183"/>
      <c r="AT11" s="177"/>
      <c r="AU11" s="177">
        <f>AR11*0.28*'Données environnement'!$J$31</f>
        <v>4.5929583992810954E-3</v>
      </c>
      <c r="AV11" s="177">
        <f>AT11/'Données environnement'!J$28/'Données environnement'!E$96*'Données environnement'!E$97*'Données environnement'!J$29</f>
        <v>0</v>
      </c>
      <c r="AW11" s="213" t="e">
        <f>#REF!*'Données environnement'!BC$251*'Données environnement'!J$31</f>
        <v>#REF!</v>
      </c>
      <c r="AX11" s="206">
        <f>(AR11-AU11/'Données environnement'!$J$31)*0.38*0.75*'Données environnement'!J$31</f>
        <v>3.3659823697588594E-3</v>
      </c>
      <c r="AY11" s="212">
        <f>AQ11*'Données environnement'!BC$253*'Données environnement'!J$31</f>
        <v>1.4969348172493152E-3</v>
      </c>
      <c r="AZ11" s="114"/>
      <c r="BA11" s="39">
        <f>(I11+R11+AA11+AK11+AT11)*'Données environnement'!$J$12</f>
        <v>0.2480892535232877</v>
      </c>
      <c r="BB11" s="173">
        <f>(H11+Q11+Z11+AJ11+AS11)*'Données environnement'!$J$14</f>
        <v>2.9414153884931505E-2</v>
      </c>
      <c r="BC11" s="39">
        <f>(J11+S11+AB11+AL11+AU11+AX11)*14/17*'Données environnement'!$J$15*44/28*'Données environnement'!$J$14</f>
        <v>6.8738492547426547E-2</v>
      </c>
      <c r="BD11" s="188">
        <f t="shared" si="3"/>
        <v>0.34624189995564575</v>
      </c>
      <c r="BE11" s="188"/>
      <c r="BF11" s="188"/>
      <c r="BG11" s="188"/>
      <c r="BH11" s="188"/>
    </row>
    <row r="12" spans="1:60" s="21" customFormat="1" ht="29" x14ac:dyDescent="0.35">
      <c r="A12" s="20" t="s">
        <v>788</v>
      </c>
      <c r="B12" s="16"/>
      <c r="C12" s="16" t="s">
        <v>68</v>
      </c>
      <c r="D12" s="39">
        <f>'Données environnement'!E$116*'Données Production '!H$5*'Données Production '!H$8</f>
        <v>2.5559999999999996</v>
      </c>
      <c r="E12" s="39">
        <f>'Données environnement'!E$122*'Données Production '!H$5*'Données Production '!H$8/365</f>
        <v>3.4313424657534244E-2</v>
      </c>
      <c r="F12" s="39">
        <f>'Données environnement'!E$150</f>
        <v>0.36</v>
      </c>
      <c r="G12" s="39">
        <f>'Données environnement'!E$127*'Données Production '!H$5*'Données Production '!H$8/365</f>
        <v>2.4019397260273967E-2</v>
      </c>
      <c r="H12" s="173">
        <f>0.333*'Données environnement'!E$181*'Calcul simpl volaille'!E12*'Données environnement'!$J$36</f>
        <v>3.5878803090410963E-5</v>
      </c>
      <c r="I12" s="39">
        <f>'Données environnement'!E$164*'Données Production '!H$5*'Données Production '!H$8/365</f>
        <v>3.0403094794520546E-3</v>
      </c>
      <c r="J12" s="39">
        <f>'Données environnement'!E$132*G12*'Données environnement'!J$31</f>
        <v>8.13777179178082E-3</v>
      </c>
      <c r="K12" s="39">
        <f>I12/'Données environnement'!$E$96*'Données environnement'!$E$97/'Données environnement'!J$28*'Données environnement'!J$29</f>
        <v>5.6570932602739727E-3</v>
      </c>
      <c r="L12" s="39">
        <f t="shared" si="1"/>
        <v>2.5473025972602734</v>
      </c>
      <c r="M12" s="49">
        <f>E12-(H12/'Données environnement'!J$36 + J12/'Données environnement'!J$31)</f>
        <v>2.7565140683835615E-2</v>
      </c>
      <c r="N12" s="39">
        <f t="shared" si="2"/>
        <v>0.36</v>
      </c>
      <c r="O12" s="39">
        <f>'Données environnement'!$E$137*'Données Production '!$H$5*'Données Production '!$H$8/365</f>
        <v>1.6333190136986298E-2</v>
      </c>
      <c r="P12" s="348"/>
      <c r="Q12" s="16"/>
      <c r="R12" s="16"/>
      <c r="S12" s="39">
        <f>'Données environnement'!E$142*'Calcul simpl volaille'!O12*'Données environnement'!J$31</f>
        <v>3.3597372111780818E-3</v>
      </c>
      <c r="T12" s="49">
        <f>R12/'Données environnement'!$E$96*'Données environnement'!$E$97</f>
        <v>0</v>
      </c>
      <c r="U12" s="35" t="s">
        <v>68</v>
      </c>
      <c r="V12" s="106">
        <f>L12-(R12/'Données environnement'!J$33 + 'Calcul simpl volaille'!T12/'Données environnement'!J$32)*'Données environnement'!J$37 - R12/'Données environnement'!J$34 - 'Calcul simpl volaille'!T12/'Données environnement'!J$35</f>
        <v>2.5473025972602734</v>
      </c>
      <c r="W12" s="106">
        <f t="shared" si="5"/>
        <v>0.36</v>
      </c>
      <c r="X12" s="106">
        <f>M12*0.75</f>
        <v>2.0673855512876711E-2</v>
      </c>
      <c r="Y12" s="106">
        <f>O12*0.75</f>
        <v>1.2249892602739725E-2</v>
      </c>
      <c r="Z12" s="173"/>
      <c r="AA12" s="194"/>
      <c r="AB12" s="194"/>
      <c r="AC12" s="195"/>
      <c r="AD12" s="194"/>
      <c r="AE12" s="194"/>
      <c r="AF12" s="194"/>
      <c r="AG12" s="194"/>
      <c r="AH12" s="194"/>
      <c r="AI12" s="34" t="s">
        <v>728</v>
      </c>
      <c r="AJ12" s="185"/>
      <c r="AK12" s="192"/>
      <c r="AL12" s="110"/>
      <c r="AM12" s="110"/>
      <c r="AN12" s="110"/>
      <c r="AO12" s="176">
        <f>V12-(AA12 + 'Calcul simpl volaille'!AC12)*'Données environnement'!J$37</f>
        <v>2.5473025972602734</v>
      </c>
      <c r="AP12" s="176">
        <f t="shared" si="0"/>
        <v>0.36</v>
      </c>
      <c r="AQ12" s="176">
        <f>X12-Z12/'Données environnement'!J$36-'Calcul simpl volaille'!AB12/'Données environnement'!J$31</f>
        <v>2.0673855512876711E-2</v>
      </c>
      <c r="AR12" s="176">
        <f>Y12-AB12/'Données environnement'!J$31</f>
        <v>1.2249892602739725E-2</v>
      </c>
      <c r="AS12" s="183"/>
      <c r="AT12" s="177"/>
      <c r="AU12" s="177">
        <v>0</v>
      </c>
      <c r="AV12" s="177">
        <f>AT12/'Données environnement'!J$28/'Données environnement'!E$96*'Données environnement'!E$97*'Données environnement'!J$29</f>
        <v>0</v>
      </c>
      <c r="AW12" s="213" t="e">
        <f>#REF!*'Données environnement'!BC$251*'Données environnement'!J$31</f>
        <v>#REF!</v>
      </c>
      <c r="AX12" s="206">
        <v>0</v>
      </c>
      <c r="AY12" s="212">
        <f>AQ12*'Données environnement'!BC$253*'Données environnement'!J$31</f>
        <v>1.250768258529041E-3</v>
      </c>
      <c r="AZ12" s="114"/>
      <c r="BA12" s="39">
        <f>(I12+R12+AA12+AK12+AT12)*'Données environnement'!$J$12</f>
        <v>8.2696417841095882E-2</v>
      </c>
      <c r="BB12" s="173">
        <f>(H12+Q12+Z12+AJ12+AS12)*'Données environnement'!$J$14</f>
        <v>9.7949132436821931E-3</v>
      </c>
      <c r="BC12" s="39">
        <f>(J12+S12+AB12+AL12+AU12+AX12)*14/17*'Données environnement'!$J$15*44/28*'Données environnement'!$J$14</f>
        <v>4.0620022983394795E-2</v>
      </c>
      <c r="BD12" s="188">
        <f t="shared" si="3"/>
        <v>0.13311135406817287</v>
      </c>
      <c r="BE12" s="188"/>
      <c r="BF12" s="188"/>
      <c r="BG12" s="188"/>
      <c r="BH12" s="188"/>
    </row>
    <row r="13" spans="1:60" s="21" customFormat="1" ht="18.5" x14ac:dyDescent="0.35">
      <c r="A13" s="20" t="s">
        <v>789</v>
      </c>
      <c r="B13" s="16"/>
      <c r="C13" s="16"/>
      <c r="D13" s="39">
        <f>'Données environnement'!E$116*'Données Production '!H$5*'Données Production '!H$8</f>
        <v>2.5559999999999996</v>
      </c>
      <c r="E13" s="39">
        <f>'Données environnement'!E$122*'Données Production '!H$5*'Données Production '!H$8/365</f>
        <v>3.4313424657534244E-2</v>
      </c>
      <c r="F13" s="39">
        <f>'Données environnement'!E$150</f>
        <v>0.36</v>
      </c>
      <c r="G13" s="39">
        <f>'Données environnement'!E$127*'Données Production '!H$5*'Données Production '!H$8/365</f>
        <v>2.4019397260273967E-2</v>
      </c>
      <c r="H13" s="173">
        <f>0.333*'Données environnement'!E$181*'Calcul simpl volaille'!E13*'Données environnement'!$J$36</f>
        <v>3.5878803090410963E-5</v>
      </c>
      <c r="I13" s="39">
        <f>0.004*'Données Production '!H$5*'Données Production '!H$8/365</f>
        <v>2.8010958904109589E-3</v>
      </c>
      <c r="J13" s="39">
        <f>'Données environnement'!E$132*G13*'Données environnement'!J$31</f>
        <v>8.13777179178082E-3</v>
      </c>
      <c r="K13" s="39">
        <f>I13/'Données environnement'!$E$96*'Données environnement'!$E$97/'Données environnement'!J$28*'Données environnement'!J$29</f>
        <v>5.2119893682273568E-3</v>
      </c>
      <c r="L13" s="39">
        <f t="shared" si="1"/>
        <v>2.5479869147413612</v>
      </c>
      <c r="M13" s="49">
        <f>E13-(H13/'Données environnement'!J$36 + J13/'Données environnement'!J$31)</f>
        <v>2.7565140683835615E-2</v>
      </c>
      <c r="N13" s="39">
        <f t="shared" si="2"/>
        <v>0.36</v>
      </c>
      <c r="O13" s="114">
        <f>'Données environnement'!$E$137*'Données Production '!$H$5*'Données Production '!$H$8/365</f>
        <v>1.6333190136986298E-2</v>
      </c>
      <c r="P13" s="348"/>
      <c r="Q13" s="16"/>
      <c r="R13" s="16"/>
      <c r="S13" s="39"/>
      <c r="T13" s="49"/>
      <c r="U13" s="33" t="s">
        <v>790</v>
      </c>
      <c r="V13" s="106">
        <f>L13-(R13/'Données environnement'!J$33 + 'Calcul simpl volaille'!T13/'Données environnement'!J$32)*'Données environnement'!J$37 - R13/'Données environnement'!J$34 - 'Calcul simpl volaille'!T13/'Données environnement'!J$35</f>
        <v>2.5479869147413612</v>
      </c>
      <c r="W13" s="106">
        <f t="shared" si="5"/>
        <v>0.36</v>
      </c>
      <c r="X13" s="106">
        <f>M13-(Q13/'Données environnement'!J$36 + S13/'Données environnement'!J$31)</f>
        <v>2.7565140683835615E-2</v>
      </c>
      <c r="Y13" s="106">
        <f>O13-S13/'Données environnement'!J$31</f>
        <v>1.6333190136986298E-2</v>
      </c>
      <c r="Z13" s="173">
        <f>M13*'Données environnement'!$J$49*44/28*('Données environnement'!$J$47)</f>
        <v>1.082916241150685E-5</v>
      </c>
      <c r="AA13" s="107">
        <f>'Données environnement'!$J$47*AF13*'Données environnement'!$J$28 + 'Données environnement'!$AF$254*AH13*'Données environnement'!J$58</f>
        <v>3.0816474861124508E-2</v>
      </c>
      <c r="AB13" s="107">
        <f>'Données environnement'!J$47*AH13*'Données environnement'!J$50*'Données environnement'!J$52</f>
        <v>5.5800913432835805E-6</v>
      </c>
      <c r="AC13" s="107">
        <f>AA13/'Données environnement'!J$28/'Données environnement'!E$96*'Données environnement'!E$97*'Données environnement'!J$29</f>
        <v>5.7340107453037643E-2</v>
      </c>
      <c r="AD13" s="107">
        <f>(V13)/'Données environnement'!E$113/1000*'Données environnement'!J$45*'Données environnement'!AJ$254</f>
        <v>1.3523930547473376E-2</v>
      </c>
      <c r="AE13" s="107">
        <f>V13/'Données environnement'!E110/1000*'Données environnement'!J$22*'Données environnement'!J$24</f>
        <v>1.2257882995242223E-2</v>
      </c>
      <c r="AF13" s="39">
        <f>W13*V13*'Données Production '!B$30</f>
        <v>0.91727528930688995</v>
      </c>
      <c r="AG13" s="107">
        <f>AF13/'Données environnement'!E$96*'Données environnement'!E$97</f>
        <v>0.61151685953792667</v>
      </c>
      <c r="AH13" s="107">
        <f>AF13+AG13</f>
        <v>1.5287921488448166</v>
      </c>
      <c r="AI13" s="119" t="s">
        <v>12</v>
      </c>
      <c r="AJ13" s="187">
        <v>0</v>
      </c>
      <c r="AK13" s="191">
        <f>(AH13)*(1-'Données environnement'!J$58-'Données environnement'!J$47)*'Données environnement'!$AQ$253*'Données environnement'!$J$28</f>
        <v>7.1329968249336968E-4</v>
      </c>
      <c r="AL13" s="109">
        <v>0</v>
      </c>
      <c r="AM13" s="161">
        <f>AK13/'Données environnement'!J$28/'Données environnement'!E$96*'Données environnement'!E$97*'Données environnement'!J$32</f>
        <v>2.6024200687983635E-3</v>
      </c>
      <c r="AN13" s="161">
        <f>AH13*(1-'Données environnement'!J$58-'Données environnement'!J$47)*('Données environnement'!J$63*('Données environnement'!J$64*'Données environnement'!J$66 + 'Données environnement'!J$65*'Données environnement'!J$27) + 'Données environnement'!J$27*('Données environnement'!J$67 + 'Données environnement'!J$69) + 'Données environnement'!J$70*'Données environnement'!J$71)</f>
        <v>0.78602459750583009</v>
      </c>
      <c r="AO13" s="161">
        <f>V13-('Calcul simpl volaille'!AF13*'Données environnement'!J28 + 'Calcul simpl volaille'!AG13*'Données environnement'!J29+AK13+AM13)</f>
        <v>0.78656022381852986</v>
      </c>
      <c r="AP13" s="39">
        <f t="shared" si="0"/>
        <v>0.36</v>
      </c>
      <c r="AQ13" s="39">
        <f>X13-Z13/'Données environnement'!J$36-'Calcul simpl volaille'!AB13/'Données environnement'!J$31</f>
        <v>2.7553631482421247E-2</v>
      </c>
      <c r="AR13" s="39">
        <f>Y13-AB13/'Données environnement'!J$31</f>
        <v>1.6328578491248049E-2</v>
      </c>
      <c r="AS13" s="184">
        <f>AQ13*'Données environnement'!AV$251*'Données environnement'!J$36</f>
        <v>0</v>
      </c>
      <c r="AT13" s="161">
        <f>AP13*AO13*'Données environnement'!J28*'Données environnement'!J74</f>
        <v>3.9461411804886113E-3</v>
      </c>
      <c r="AU13" s="177">
        <f>AR13*0.28*'Données environnement'!$J$31</f>
        <v>5.5321223928348397E-3</v>
      </c>
      <c r="AV13" s="161">
        <f>AT13/'Données environnement'!J$28/'Données environnement'!E$96*'Données environnement'!E$97*'Données environnement'!J$29</f>
        <v>7.3425711517549298E-3</v>
      </c>
      <c r="AW13" s="213">
        <f>AQ13*'Données environnement'!BC$251*'Données environnement'!J$31</f>
        <v>6.6679788187459423E-3</v>
      </c>
      <c r="AX13" s="206">
        <f>(AR13-AU13/'Données environnement'!$J$31)*0.38*0.75*'Données environnement'!J$31</f>
        <v>4.0542554107489606E-3</v>
      </c>
      <c r="AY13" s="212">
        <f>AQ13*'Données environnement'!BC$253*'Données environnement'!J$31</f>
        <v>1.6669947046864856E-3</v>
      </c>
      <c r="AZ13" s="114"/>
      <c r="BA13" s="39">
        <f>(I13+R13+AA13+AK13+AT13)*'Données environnement'!$J$12</f>
        <v>1.0411347159148745</v>
      </c>
      <c r="BB13" s="173">
        <f>(H13+Q13+Z13+AJ13+AS13)*'Données environnement'!$J$14</f>
        <v>1.2751274582023563E-2</v>
      </c>
      <c r="BC13" s="39">
        <f>(J13+S13+AB13+AL13+AU13+AX13)*14/17*'Données environnement'!$J$15*44/28*'Données environnement'!$J$14</f>
        <v>6.2638092057863332E-2</v>
      </c>
      <c r="BD13" s="189">
        <f>BA13+BB13+BC13+AE13</f>
        <v>1.1287819655500035</v>
      </c>
      <c r="BE13" s="188"/>
      <c r="BF13" s="188"/>
      <c r="BG13" s="188"/>
      <c r="BH13" s="188"/>
    </row>
    <row r="14" spans="1:60" ht="29" x14ac:dyDescent="0.35">
      <c r="A14" s="20" t="s">
        <v>791</v>
      </c>
      <c r="B14" s="50" t="s">
        <v>792</v>
      </c>
      <c r="C14" s="16" t="s">
        <v>728</v>
      </c>
      <c r="D14" s="49">
        <f>'Données environnement'!E$117*'Données Production '!I$5*'Données Production '!I$8</f>
        <v>23.680000000000003</v>
      </c>
      <c r="E14" s="49">
        <f>'Données environnement'!E$123*'Données Production '!I$5*'Données Production '!I$8/365</f>
        <v>4.46027397260274E-2</v>
      </c>
      <c r="F14" s="49">
        <f>'Données environnement'!E$151</f>
        <v>0.36</v>
      </c>
      <c r="G14" s="49">
        <f>'Données environnement'!E$128*'Données Production '!I$5*'Données Production '!I$8/365</f>
        <v>3.1221917808219181E-2</v>
      </c>
      <c r="H14" s="173">
        <f>'Données environnement'!E$181*'Calcul simpl volaille'!E14*'Données environnement'!$J$36</f>
        <v>1.4005260273972604E-4</v>
      </c>
      <c r="I14" s="39">
        <f>'Données environnement'!E$163*'Données Production '!I$5*'Données Production '!I$8/365</f>
        <v>8.4500620273972607E-2</v>
      </c>
      <c r="J14" s="161">
        <f>'Données environnement'!E$133*'Calcul simpl volaille'!G14*'Données environnement'!J$31</f>
        <v>9.0668449315068501E-3</v>
      </c>
      <c r="K14" s="39">
        <f>I14/'Données environnement'!$E$96*'Données environnement'!$E$97/'Données environnement'!J$28*'Données environnement'!J$29</f>
        <v>0.15723000986301372</v>
      </c>
      <c r="L14" s="39">
        <f t="shared" si="1"/>
        <v>23.438269369863018</v>
      </c>
      <c r="M14" s="49">
        <f>E14-(H14/'Données environnement'!J$36 + J14/'Données environnement'!J$31)</f>
        <v>3.7020273972602741E-2</v>
      </c>
      <c r="N14" s="39">
        <f t="shared" si="2"/>
        <v>0.36</v>
      </c>
      <c r="O14" s="39">
        <f>'Données environnement'!$E$138*'Données Production '!$I$5*'Données Production '!$I$8/365</f>
        <v>1.6859835616438359E-2</v>
      </c>
      <c r="P14" s="348" t="s">
        <v>787</v>
      </c>
      <c r="R14" s="16"/>
      <c r="S14" s="39">
        <f>'Données environnement'!E$142*'Calcul simpl volaille'!O14*'Données environnement'!J$31</f>
        <v>3.4680681863013705E-3</v>
      </c>
      <c r="T14" s="49">
        <f>R14/'Données environnement'!$E$96*'Données environnement'!$E$97</f>
        <v>0</v>
      </c>
      <c r="U14" s="34" t="s">
        <v>728</v>
      </c>
      <c r="V14" s="106">
        <f>L14-(R14/'Données environnement'!J$33 + 'Calcul simpl volaille'!T14/'Données environnement'!J$32)*'Données environnement'!J$37 - R14/'Données environnement'!J$34 - 'Calcul simpl volaille'!T14/'Données environnement'!J$35</f>
        <v>23.438269369863018</v>
      </c>
      <c r="W14" s="106">
        <f t="shared" ref="W14:W16" si="6">N14</f>
        <v>0.36</v>
      </c>
      <c r="X14" s="106">
        <f>M14-(Q14/'Données environnement'!J$36 + S14/'Données environnement'!J$31)</f>
        <v>3.4154101917808218E-2</v>
      </c>
      <c r="Y14" s="106">
        <f>O14-S14/'Données environnement'!J$31</f>
        <v>1.3993663561643837E-2</v>
      </c>
      <c r="Z14" s="173"/>
      <c r="AA14" s="194"/>
      <c r="AB14" s="194"/>
      <c r="AC14" s="195"/>
      <c r="AD14" s="194"/>
      <c r="AE14" s="194"/>
      <c r="AF14" s="194"/>
      <c r="AG14" s="194"/>
      <c r="AH14" s="194"/>
      <c r="AI14" s="34" t="s">
        <v>728</v>
      </c>
      <c r="AJ14" s="185"/>
      <c r="AK14" s="192"/>
      <c r="AL14" s="110"/>
      <c r="AM14" s="110"/>
      <c r="AN14" s="110"/>
      <c r="AO14" s="176">
        <f>V14-(AA14 + 'Calcul simpl volaille'!AC14)*'Données environnement'!J$37</f>
        <v>23.438269369863018</v>
      </c>
      <c r="AP14" s="176">
        <f t="shared" si="0"/>
        <v>0.36</v>
      </c>
      <c r="AQ14" s="176">
        <f>X14-Z14/'Données environnement'!J$36-'Calcul simpl volaille'!AB14/'Données environnement'!J$31</f>
        <v>3.4154101917808218E-2</v>
      </c>
      <c r="AR14" s="176">
        <f>Y14-AB14/'Données environnement'!J$31</f>
        <v>1.3993663561643837E-2</v>
      </c>
      <c r="AS14" s="183"/>
      <c r="AT14" s="177"/>
      <c r="AU14" s="177">
        <f>AR14*0.24*'Données environnement'!$J$31</f>
        <v>4.06375989830137E-3</v>
      </c>
      <c r="AV14" s="177">
        <f>AT14/'Données environnement'!J$28/'Données environnement'!E$96*'Données environnement'!E$97*'Données environnement'!J$29</f>
        <v>0</v>
      </c>
      <c r="AW14" s="213" t="e">
        <f>#REF!*'Données environnement'!BC$251*'Données environnement'!J$31</f>
        <v>#REF!</v>
      </c>
      <c r="AX14" s="206">
        <f>(AR14-AU14/'Données environnement'!$J$31)*0.54*0.525*'Données environnement'!J$31</f>
        <v>3.6482404487000555E-3</v>
      </c>
      <c r="AY14" s="212">
        <f>AQ14*'Données environnement'!BC$253*'Données environnement'!J$31</f>
        <v>2.0663231660273972E-3</v>
      </c>
      <c r="AZ14" s="114"/>
      <c r="BA14" s="39">
        <f>(I14+R14+AA14+AK14+AT14)*'Données environnement'!$J$12</f>
        <v>2.298416871452055</v>
      </c>
      <c r="BB14" s="173">
        <f>(H14+Q14+Z14+AJ14+AS14)*'Données environnement'!$J$14</f>
        <v>3.8234360547945212E-2</v>
      </c>
      <c r="BC14" s="39">
        <f>(J14+S14+AB14+AL14+AU14+AX14)*14/17*'Données environnement'!$J$15*44/28*'Données environnement'!$J$14</f>
        <v>7.153115427626279E-2</v>
      </c>
      <c r="BD14" s="188">
        <f t="shared" si="3"/>
        <v>2.408182386276263</v>
      </c>
      <c r="BE14" s="188"/>
      <c r="BF14" s="188"/>
      <c r="BG14" s="188"/>
      <c r="BH14" s="188"/>
    </row>
    <row r="15" spans="1:60" ht="29" x14ac:dyDescent="0.35">
      <c r="A15" s="20" t="s">
        <v>793</v>
      </c>
      <c r="C15" s="16" t="s">
        <v>68</v>
      </c>
      <c r="D15" s="49">
        <f>'Données environnement'!E$117*'Données Production '!I$5*'Données Production '!I$8</f>
        <v>23.680000000000003</v>
      </c>
      <c r="E15" s="49">
        <f>'Données environnement'!E$123*'Données Production '!I$5*'Données Production '!I$8/365</f>
        <v>4.46027397260274E-2</v>
      </c>
      <c r="F15" s="49">
        <f>'Données environnement'!E$151</f>
        <v>0.36</v>
      </c>
      <c r="G15" s="49">
        <f>'Données environnement'!E$128*'Données Production '!I$5*'Données Production '!I$8/365</f>
        <v>3.1221917808219181E-2</v>
      </c>
      <c r="H15" s="173">
        <f>0.333*'Données environnement'!E$181*'Calcul simpl volaille'!E15*'Données environnement'!$J$36</f>
        <v>4.6637516712328775E-5</v>
      </c>
      <c r="I15" s="39">
        <f>'Données environnement'!E$165*'Données Production '!I$5*'Données Production '!I$8/365</f>
        <v>2.8166873424657537E-2</v>
      </c>
      <c r="J15" s="161">
        <f>'Données environnement'!E$133*'Calcul simpl volaille'!G15*'Données environnement'!J$31</f>
        <v>9.0668449315068501E-3</v>
      </c>
      <c r="K15" s="39">
        <f>I15/'Données environnement'!$E$96*'Données environnement'!$E$97/'Données environnement'!J$28*'Données environnement'!J$29</f>
        <v>5.2410003287671245E-2</v>
      </c>
      <c r="L15" s="39">
        <f t="shared" si="1"/>
        <v>23.599423123287675</v>
      </c>
      <c r="M15" s="49">
        <f>E15-(H15/'Données environnement'!J$36 + J15/'Données environnement'!J$31)</f>
        <v>3.7079774027397261E-2</v>
      </c>
      <c r="N15" s="39">
        <f t="shared" si="2"/>
        <v>0.36</v>
      </c>
      <c r="O15" s="39">
        <f>'Données environnement'!$E$138*'Données Production '!$I$5*'Données Production '!$I$8/365</f>
        <v>1.6859835616438359E-2</v>
      </c>
      <c r="P15" s="348"/>
      <c r="S15" s="39">
        <f>'Données environnement'!E$142*'Calcul simpl volaille'!O15*'Données environnement'!J$31</f>
        <v>3.4680681863013705E-3</v>
      </c>
      <c r="T15" s="49">
        <f>R15/'Données environnement'!$E$96*'Données environnement'!$E$97</f>
        <v>0</v>
      </c>
      <c r="U15" s="35" t="s">
        <v>68</v>
      </c>
      <c r="V15" s="106">
        <f>L15-(R15/'Données environnement'!J$33 + 'Calcul simpl volaille'!T15/'Données environnement'!J$32)*'Données environnement'!J$37 - R15/'Données environnement'!J$34 - 'Calcul simpl volaille'!T15/'Données environnement'!J$35</f>
        <v>23.599423123287675</v>
      </c>
      <c r="W15" s="106">
        <f t="shared" si="6"/>
        <v>0.36</v>
      </c>
      <c r="X15" s="106">
        <f>M15*0.75</f>
        <v>2.7809830520547946E-2</v>
      </c>
      <c r="Y15" s="106">
        <f>O15*0.75</f>
        <v>1.2644876712328768E-2</v>
      </c>
      <c r="Z15" s="173"/>
      <c r="AA15" s="194"/>
      <c r="AB15" s="194"/>
      <c r="AC15" s="195"/>
      <c r="AD15" s="194"/>
      <c r="AE15" s="194"/>
      <c r="AF15" s="194"/>
      <c r="AG15" s="194"/>
      <c r="AH15" s="194"/>
      <c r="AI15" s="34" t="s">
        <v>728</v>
      </c>
      <c r="AJ15" s="185"/>
      <c r="AK15" s="192"/>
      <c r="AL15" s="110"/>
      <c r="AM15" s="110"/>
      <c r="AN15" s="110"/>
      <c r="AO15" s="176">
        <f>V15-(AA15 + 'Calcul simpl volaille'!AC15)*'Données environnement'!J$37</f>
        <v>23.599423123287675</v>
      </c>
      <c r="AP15" s="176">
        <f t="shared" si="0"/>
        <v>0.36</v>
      </c>
      <c r="AQ15" s="176">
        <f>X15-Z15/'Données environnement'!J$36-'Calcul simpl volaille'!AB15/'Données environnement'!J$31</f>
        <v>2.7809830520547946E-2</v>
      </c>
      <c r="AR15" s="176">
        <f>Y15-AB15/'Données environnement'!J$31</f>
        <v>1.2644876712328768E-2</v>
      </c>
      <c r="AS15" s="183"/>
      <c r="AT15" s="177"/>
      <c r="AU15" s="177">
        <v>0</v>
      </c>
      <c r="AV15" s="177">
        <f>AT15/'Données environnement'!J$28/'Données environnement'!E$96*'Données environnement'!E$97*'Données environnement'!J$29</f>
        <v>0</v>
      </c>
      <c r="AW15" s="213" t="e">
        <f>#REF!*'Données environnement'!BC$251*'Données environnement'!J$31</f>
        <v>#REF!</v>
      </c>
      <c r="AX15" s="206">
        <v>0</v>
      </c>
      <c r="AY15" s="212">
        <f>AQ15*'Données environnement'!BC$253*'Données environnement'!J$31</f>
        <v>1.6824947464931508E-3</v>
      </c>
      <c r="AZ15" s="114"/>
      <c r="BA15" s="39">
        <f>(I15+R15+AA15+AK15+AT15)*'Données environnement'!$J$12</f>
        <v>0.76613895715068503</v>
      </c>
      <c r="BB15" s="173">
        <f>(H15+Q15+Z15+AJ15+AS15)*'Données environnement'!$J$14</f>
        <v>1.2732042062465755E-2</v>
      </c>
      <c r="BC15" s="39">
        <f>(J15+S15+AB15+AL15+AU15+AX15)*14/17*'Données environnement'!$J$15*44/28*'Données environnement'!$J$14</f>
        <v>4.4285110697385985E-2</v>
      </c>
      <c r="BD15" s="188">
        <f t="shared" si="3"/>
        <v>0.82315610991053678</v>
      </c>
      <c r="BE15" s="188"/>
      <c r="BF15" s="188"/>
      <c r="BG15" s="188"/>
      <c r="BH15" s="188"/>
    </row>
    <row r="16" spans="1:60" ht="18.5" x14ac:dyDescent="0.35">
      <c r="A16" s="20" t="s">
        <v>794</v>
      </c>
      <c r="B16" t="s">
        <v>591</v>
      </c>
      <c r="C16" s="16"/>
      <c r="D16" s="49">
        <f>'Données environnement'!E$117*'Données Production '!I$5*'Données Production '!I$8</f>
        <v>23.680000000000003</v>
      </c>
      <c r="E16" s="49">
        <f>'Données environnement'!E$123*'Données Production '!I$5*'Données Production '!I$8/365</f>
        <v>4.46027397260274E-2</v>
      </c>
      <c r="F16" s="49">
        <f>'Données environnement'!E$151</f>
        <v>0.36</v>
      </c>
      <c r="G16" s="49">
        <f>'Données environnement'!E$128*'Données Production '!I$5*'Données Production '!I$8/365</f>
        <v>3.1221917808219181E-2</v>
      </c>
      <c r="H16" s="173">
        <f>0.333*'Données environnement'!E$181*'Calcul simpl volaille'!E16*'Données environnement'!$J$36</f>
        <v>4.6637516712328775E-5</v>
      </c>
      <c r="I16" s="39">
        <f>0.035*'Données Production '!I$5*'Données Production '!I$8/365</f>
        <v>2.8383561643835618E-2</v>
      </c>
      <c r="J16" s="161">
        <f>'Données environnement'!E$133*'Calcul simpl volaille'!G16*'Données environnement'!J$31</f>
        <v>9.0668449315068501E-3</v>
      </c>
      <c r="K16" s="39">
        <f>I16/'Données environnement'!$E$96*'Données environnement'!$E$97/'Données environnement'!J$28*'Données environnement'!J$29</f>
        <v>5.2813194302460308E-2</v>
      </c>
      <c r="L16" s="39">
        <f t="shared" si="1"/>
        <v>23.598803244053709</v>
      </c>
      <c r="M16" s="49">
        <f>E16-(H16/'Données environnement'!J$36 + J16/'Données environnement'!J$31)</f>
        <v>3.7079774027397261E-2</v>
      </c>
      <c r="N16" s="39">
        <f t="shared" si="2"/>
        <v>0.36</v>
      </c>
      <c r="O16" s="114">
        <f>'Données environnement'!$E$138*'Données Production '!$I$5*'Données Production '!$I$8/365</f>
        <v>1.6859835616438359E-2</v>
      </c>
      <c r="P16" s="348"/>
      <c r="T16" s="49"/>
      <c r="U16" s="33" t="s">
        <v>790</v>
      </c>
      <c r="V16" s="106">
        <f>L16-(R16/'Données environnement'!J$33 + 'Calcul simpl volaille'!T16/'Données environnement'!J$32)*'Données environnement'!J$37 - R16/'Données environnement'!J$34 - 'Calcul simpl volaille'!T16/'Données environnement'!J$35</f>
        <v>23.598803244053709</v>
      </c>
      <c r="W16" s="106">
        <f t="shared" si="6"/>
        <v>0.36</v>
      </c>
      <c r="X16" s="106">
        <f>M16-(Q16/'Données environnement'!J$36 + S16/'Données environnement'!J$31)</f>
        <v>3.7079774027397261E-2</v>
      </c>
      <c r="Y16" s="106">
        <f>O16-S16/'Données environnement'!J$31</f>
        <v>1.6859835616438359E-2</v>
      </c>
      <c r="Z16" s="173">
        <f>M16*'Données environnement'!$J$49*44/28*('Données environnement'!$J$47)</f>
        <v>1.456705408219178E-5</v>
      </c>
      <c r="AA16" s="107">
        <f>'Données environnement'!$J$47*AF16*'Données environnement'!$J$28 + 'Données environnement'!$AF$254*AH16*'Données environnement'!J$58</f>
        <v>0.285414309907013</v>
      </c>
      <c r="AB16" s="107">
        <f>'Données environnement'!J$47*AH16*'Données environnement'!J$50*'Données environnement'!J$52</f>
        <v>5.1681379104477623E-5</v>
      </c>
      <c r="AC16" s="107">
        <f>AA16/'Données environnement'!J$28/'Données environnement'!E$96*'Données environnement'!E$97*'Données environnement'!J$29</f>
        <v>0.53106941246379524</v>
      </c>
      <c r="AD16" s="107">
        <f>(V16)/'Données environnement'!E$113/1000*'Données environnement'!J$45*'Données environnement'!AJ$254</f>
        <v>0.12525518644920813</v>
      </c>
      <c r="AE16" s="107">
        <f>V16/'Données environnement'!E$111/1000*'Données environnement'!J$22*'Données environnement'!J$24</f>
        <v>0.23837947987102487</v>
      </c>
      <c r="AF16" s="39">
        <f>W16*V16*'Données Production '!B$30</f>
        <v>8.495569167859335</v>
      </c>
      <c r="AG16" s="107">
        <f>AF16/'Données environnement'!E$96*'Données environnement'!E$97</f>
        <v>5.66371277857289</v>
      </c>
      <c r="AH16" s="107">
        <f>AF16+AG16</f>
        <v>14.159281946432225</v>
      </c>
      <c r="AI16" s="119" t="s">
        <v>12</v>
      </c>
      <c r="AJ16" s="187">
        <v>0</v>
      </c>
      <c r="AK16" s="191">
        <f>(AH16)*(1-'Données environnement'!J$58-'Données environnement'!J$47)*'Données environnement'!$AQ$253*'Données environnement'!$J$28</f>
        <v>6.6063992573194529E-3</v>
      </c>
      <c r="AL16" s="109">
        <v>0</v>
      </c>
      <c r="AM16" s="161">
        <f>AK16/'Données environnement'!J$28/'Données environnement'!E$96*'Données environnement'!E$97*'Données environnement'!J$32</f>
        <v>2.4102949197517078E-2</v>
      </c>
      <c r="AN16" s="161">
        <f>AH16*(1-'Données environnement'!J$58-'Données environnement'!J$47)*('Données environnement'!J$63*('Données environnement'!J$64*'Données environnement'!J$66 + 'Données environnement'!J$65*'Données environnement'!J$27) + 'Données environnement'!J$27*('Données environnement'!J$67 + 'Données environnement'!J$69) + 'Données environnement'!J$70*'Données environnement'!J$71)</f>
        <v>7.2799588232616479</v>
      </c>
      <c r="AO16" s="161">
        <f>V16-('Calcul simpl volaille'!AF16*'Données environnement'!J28 + 'Calcul simpl volaille'!AG16*'Données environnement'!J29+AK16+AM16)</f>
        <v>7.2849196572018151</v>
      </c>
      <c r="AP16" s="39">
        <f t="shared" si="0"/>
        <v>0.36</v>
      </c>
      <c r="AQ16" s="39">
        <f>X16-Z16/'Données environnement'!J$36-'Calcul simpl volaille'!AB16/'Données environnement'!J$31</f>
        <v>3.7027783765443537E-2</v>
      </c>
      <c r="AR16" s="39">
        <f>Y16-AB16/'Données environnement'!J$31</f>
        <v>1.681712373288094E-2</v>
      </c>
      <c r="AS16" s="184">
        <f>AQ16*'Données environnement'!AV$251*'Données environnement'!J$36</f>
        <v>0</v>
      </c>
      <c r="AT16" s="161">
        <f>AP16*AO16*'Données environnement'!J74*'Données environnement'!J28</f>
        <v>3.6548150523395218E-2</v>
      </c>
      <c r="AU16" s="177">
        <f>AR16*0.24*'Données environnement'!$J$31</f>
        <v>4.8836927320286246E-3</v>
      </c>
      <c r="AV16" s="161">
        <f>AT16/'Données environnement'!J$28/'Données environnement'!E$96*'Données environnement'!E$97*'Données environnement'!J$29</f>
        <v>6.8005016396765247E-2</v>
      </c>
      <c r="AW16" s="213">
        <f>AQ16*'Données environnement'!BC$251*'Données environnement'!J$31</f>
        <v>8.9607236712373351E-3</v>
      </c>
      <c r="AX16" s="206">
        <f>(AR16-AU16/'Données environnement'!$J$31)*0.54*0.525*'Données environnement'!J$31</f>
        <v>4.3843351501786981E-3</v>
      </c>
      <c r="AY16" s="212">
        <f>AQ16*'Données environnement'!BC$253*'Données environnement'!J$31</f>
        <v>2.2401809178093338E-3</v>
      </c>
      <c r="AZ16" s="114"/>
      <c r="BA16" s="39">
        <f>(I16+R16+AA16+AK16+AT16)*'Données environnement'!$J$12</f>
        <v>9.7091058602185196</v>
      </c>
      <c r="BB16" s="173">
        <f>(H16+Q16+Z16+AJ16+AS16)*'Données environnement'!$J$14</f>
        <v>1.670884782690411E-2</v>
      </c>
      <c r="BC16" s="39">
        <f>(J16+S16+AB16+AL16+AU16+AX16)*14/17*'Données environnement'!$J$15*44/28*'Données environnement'!$J$14</f>
        <v>6.495861440121696E-2</v>
      </c>
      <c r="BD16" s="189">
        <f>BA16+BB16+BC16+AE16</f>
        <v>10.029152802317665</v>
      </c>
      <c r="BE16" s="188"/>
      <c r="BF16" s="188"/>
      <c r="BG16" s="188"/>
      <c r="BH16" s="188"/>
    </row>
    <row r="17" spans="52:52" x14ac:dyDescent="0.35">
      <c r="AZ17" s="113"/>
    </row>
    <row r="18" spans="52:52" x14ac:dyDescent="0.35">
      <c r="AZ18" s="113"/>
    </row>
    <row r="19" spans="52:52" x14ac:dyDescent="0.35">
      <c r="AZ19" s="113"/>
    </row>
    <row r="20" spans="52:52" x14ac:dyDescent="0.35">
      <c r="AZ20" s="113"/>
    </row>
  </sheetData>
  <mergeCells count="17">
    <mergeCell ref="AS1:AZ1"/>
    <mergeCell ref="D4:G4"/>
    <mergeCell ref="H4:K4"/>
    <mergeCell ref="L4:O4"/>
    <mergeCell ref="Q4:T4"/>
    <mergeCell ref="V4:Y4"/>
    <mergeCell ref="Z4:AD4"/>
    <mergeCell ref="AF4:AH4"/>
    <mergeCell ref="AJ4:AN4"/>
    <mergeCell ref="AO4:AR4"/>
    <mergeCell ref="AS4:AV4"/>
    <mergeCell ref="AW4:AY4"/>
    <mergeCell ref="P11:P13"/>
    <mergeCell ref="P14:P16"/>
    <mergeCell ref="C1:O1"/>
    <mergeCell ref="P1:AH1"/>
    <mergeCell ref="AI1:AM1"/>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64F51-F7BD-4A90-B81E-8311E18074AE}">
  <dimension ref="A1:AZ34"/>
  <sheetViews>
    <sheetView zoomScale="70" zoomScaleNormal="70" workbookViewId="0">
      <pane xSplit="3" ySplit="11" topLeftCell="AP15" activePane="bottomRight" state="frozen"/>
      <selection pane="topRight" activeCell="D1" sqref="D1"/>
      <selection pane="bottomLeft" activeCell="A12" sqref="A12"/>
      <selection pane="bottomRight" activeCell="AV35" sqref="AV35"/>
    </sheetView>
  </sheetViews>
  <sheetFormatPr baseColWidth="10" defaultColWidth="11.54296875" defaultRowHeight="14.5" x14ac:dyDescent="0.35"/>
  <cols>
    <col min="2" max="2" width="27.1796875" customWidth="1"/>
    <col min="3" max="3" width="47.81640625" customWidth="1"/>
    <col min="4" max="4" width="25.81640625" style="13" customWidth="1"/>
    <col min="5" max="5" width="28.81640625" style="27" customWidth="1"/>
    <col min="6" max="6" width="20.7265625" customWidth="1"/>
    <col min="7" max="7" width="25.1796875" customWidth="1"/>
    <col min="8" max="8" width="20" customWidth="1"/>
    <col min="9" max="9" width="53.54296875" customWidth="1"/>
    <col min="10" max="10" width="20.7265625" customWidth="1"/>
    <col min="11" max="11" width="19.81640625" style="16" customWidth="1"/>
    <col min="12" max="12" width="10.26953125" style="16" customWidth="1"/>
    <col min="13" max="13" width="12.54296875" style="16" customWidth="1"/>
    <col min="14" max="14" width="54.7265625" customWidth="1"/>
    <col min="15" max="15" width="21.453125" customWidth="1"/>
    <col min="16" max="16" width="22" customWidth="1"/>
    <col min="17" max="17" width="18.1796875" customWidth="1"/>
    <col min="18" max="18" width="15.7265625" customWidth="1"/>
    <col min="19" max="19" width="12.81640625" style="39" customWidth="1"/>
    <col min="20" max="20" width="14.453125" style="137" customWidth="1"/>
    <col min="21" max="22" width="13.26953125" style="39" customWidth="1"/>
    <col min="23" max="26" width="22.1796875" style="39" customWidth="1"/>
    <col min="27" max="27" width="20.26953125" customWidth="1"/>
    <col min="28" max="28" width="15.7265625" style="32" customWidth="1"/>
    <col min="29" max="29" width="15.81640625" style="32" customWidth="1"/>
    <col min="30" max="30" width="16.26953125" style="32" customWidth="1"/>
    <col min="31" max="31" width="18.1796875" style="32" customWidth="1"/>
    <col min="32" max="32" width="11.54296875" style="32" customWidth="1"/>
    <col min="33" max="34" width="18.26953125" customWidth="1"/>
    <col min="35" max="35" width="25.7265625" customWidth="1"/>
    <col min="36" max="36" width="16.81640625" customWidth="1"/>
    <col min="37" max="37" width="19.54296875" customWidth="1"/>
    <col min="38" max="38" width="11.54296875" customWidth="1"/>
    <col min="39" max="39" width="31.1796875" customWidth="1"/>
    <col min="40" max="41" width="11.54296875" style="32" customWidth="1"/>
    <col min="42" max="42" width="14.54296875" style="32" customWidth="1"/>
    <col min="43" max="43" width="18.7265625" style="32" customWidth="1"/>
    <col min="47" max="47" width="13.81640625" customWidth="1"/>
    <col min="48" max="48" width="11.54296875" style="13"/>
    <col min="51" max="51" width="13" bestFit="1" customWidth="1"/>
  </cols>
  <sheetData>
    <row r="1" spans="1:52" ht="18.5" x14ac:dyDescent="0.45">
      <c r="C1" s="360" t="s">
        <v>519</v>
      </c>
      <c r="D1" s="360"/>
      <c r="E1" s="360"/>
      <c r="F1" s="360"/>
      <c r="G1" s="360"/>
      <c r="H1" s="360"/>
      <c r="I1" s="24" t="s">
        <v>857</v>
      </c>
      <c r="J1" s="24"/>
      <c r="N1" t="s">
        <v>858</v>
      </c>
      <c r="AA1" t="s">
        <v>859</v>
      </c>
      <c r="AD1" s="351" t="s">
        <v>860</v>
      </c>
      <c r="AE1" s="351"/>
      <c r="AF1" s="351"/>
      <c r="AG1" s="351" t="s">
        <v>861</v>
      </c>
      <c r="AH1" s="351"/>
      <c r="AI1" s="351"/>
      <c r="AJ1" s="351"/>
      <c r="AK1" s="13"/>
    </row>
    <row r="2" spans="1:52" ht="15.5" x14ac:dyDescent="0.35">
      <c r="C2" s="89"/>
      <c r="D2" s="90"/>
      <c r="E2" s="92"/>
      <c r="F2" s="89"/>
      <c r="G2" s="89"/>
      <c r="H2" s="89"/>
      <c r="K2" s="15"/>
      <c r="L2" s="15"/>
      <c r="M2" s="15"/>
      <c r="N2" s="12" t="s">
        <v>727</v>
      </c>
      <c r="O2" s="12"/>
      <c r="P2" s="12"/>
      <c r="Q2" s="12"/>
      <c r="R2" s="12"/>
      <c r="S2" s="114"/>
      <c r="T2" s="138"/>
      <c r="U2" s="114"/>
      <c r="V2" s="114"/>
      <c r="W2" s="114"/>
      <c r="X2" s="114"/>
      <c r="Y2" s="114"/>
      <c r="Z2" s="114"/>
      <c r="AA2" s="12" t="s">
        <v>728</v>
      </c>
      <c r="AB2" s="113"/>
      <c r="AC2" s="113"/>
      <c r="AD2" s="115" t="s">
        <v>862</v>
      </c>
      <c r="AE2" s="38"/>
      <c r="AF2" s="38"/>
      <c r="AG2" s="11"/>
      <c r="AH2" s="11"/>
      <c r="AI2" s="11"/>
      <c r="AJ2" s="11"/>
    </row>
    <row r="3" spans="1:52" x14ac:dyDescent="0.35">
      <c r="C3" s="122" t="s">
        <v>413</v>
      </c>
      <c r="D3" s="91"/>
      <c r="E3" s="93"/>
      <c r="F3" s="122"/>
      <c r="G3" s="122"/>
      <c r="H3" s="122"/>
      <c r="I3" s="12" t="s">
        <v>863</v>
      </c>
      <c r="J3" s="12"/>
      <c r="K3" s="15"/>
      <c r="L3" s="15"/>
      <c r="M3" s="15"/>
      <c r="N3" s="12" t="s">
        <v>839</v>
      </c>
      <c r="O3" s="12"/>
      <c r="P3" s="12"/>
      <c r="Q3" s="12"/>
      <c r="R3" s="12"/>
      <c r="S3" s="114"/>
      <c r="T3" s="138"/>
      <c r="U3" s="114"/>
      <c r="V3" s="114"/>
      <c r="W3" s="114"/>
      <c r="X3" s="114"/>
      <c r="Y3" s="114"/>
      <c r="Z3" s="114"/>
      <c r="AA3" s="12" t="s">
        <v>864</v>
      </c>
      <c r="AB3" s="113"/>
      <c r="AC3" s="113"/>
      <c r="AD3" s="38" t="s">
        <v>865</v>
      </c>
      <c r="AE3" s="38"/>
      <c r="AF3" s="38"/>
      <c r="AG3" s="11"/>
      <c r="AH3" s="11"/>
      <c r="AI3" s="11"/>
      <c r="AJ3" s="11"/>
      <c r="AO3" s="32" t="s">
        <v>866</v>
      </c>
    </row>
    <row r="4" spans="1:52" x14ac:dyDescent="0.35">
      <c r="C4" s="122" t="s">
        <v>867</v>
      </c>
      <c r="D4" s="91"/>
      <c r="E4" s="93"/>
      <c r="F4" s="122"/>
      <c r="G4" s="122"/>
      <c r="H4" s="122"/>
      <c r="I4" s="12" t="s">
        <v>277</v>
      </c>
      <c r="J4" s="12"/>
      <c r="K4" s="15"/>
      <c r="L4" s="15"/>
      <c r="M4" s="15"/>
      <c r="N4" s="12" t="s">
        <v>730</v>
      </c>
      <c r="O4" s="12"/>
      <c r="P4" s="12"/>
      <c r="Q4" s="12"/>
      <c r="R4" s="12"/>
      <c r="S4" s="114"/>
      <c r="T4" s="138"/>
      <c r="U4" s="114"/>
      <c r="V4" s="114"/>
      <c r="W4" s="114"/>
      <c r="X4" s="114"/>
      <c r="Y4" s="114"/>
      <c r="Z4" s="114"/>
      <c r="AA4" s="12" t="s">
        <v>546</v>
      </c>
      <c r="AB4" s="113"/>
      <c r="AC4" s="113"/>
      <c r="AD4" s="38" t="s">
        <v>868</v>
      </c>
      <c r="AE4" s="38"/>
      <c r="AF4" s="38"/>
      <c r="AG4" s="11"/>
      <c r="AH4" s="11"/>
      <c r="AI4" s="11"/>
      <c r="AJ4" s="11"/>
      <c r="AO4" s="32" t="s">
        <v>869</v>
      </c>
    </row>
    <row r="5" spans="1:52" x14ac:dyDescent="0.35">
      <c r="C5" s="122" t="s">
        <v>870</v>
      </c>
      <c r="D5" s="91"/>
      <c r="E5" s="93"/>
      <c r="F5" s="122"/>
      <c r="G5" s="122"/>
      <c r="H5" s="122"/>
      <c r="I5" s="12" t="s">
        <v>871</v>
      </c>
      <c r="J5" s="12"/>
      <c r="K5" s="15"/>
      <c r="L5" s="15"/>
      <c r="M5" s="15"/>
      <c r="N5" s="12" t="s">
        <v>732</v>
      </c>
      <c r="O5" s="12"/>
      <c r="P5" s="12"/>
      <c r="Q5" s="12"/>
      <c r="R5" s="12"/>
      <c r="S5" s="114"/>
      <c r="T5" s="138"/>
      <c r="U5" s="114"/>
      <c r="V5" s="114"/>
      <c r="W5" s="114"/>
      <c r="X5" s="114"/>
      <c r="Y5" s="114"/>
      <c r="Z5" s="114"/>
      <c r="AA5" s="12" t="s">
        <v>733</v>
      </c>
      <c r="AB5" s="113"/>
      <c r="AC5" s="113"/>
      <c r="AD5" s="38" t="s">
        <v>872</v>
      </c>
      <c r="AE5" s="38"/>
      <c r="AF5" s="38"/>
      <c r="AG5" s="11"/>
      <c r="AH5" s="11"/>
      <c r="AI5" s="11"/>
      <c r="AJ5" s="11"/>
      <c r="AO5" s="32" t="s">
        <v>873</v>
      </c>
    </row>
    <row r="6" spans="1:52" x14ac:dyDescent="0.35">
      <c r="C6" s="122"/>
      <c r="D6" s="91"/>
      <c r="E6" s="93"/>
      <c r="F6" s="122"/>
      <c r="G6" s="122"/>
      <c r="H6" s="122"/>
      <c r="I6" s="12" t="s">
        <v>870</v>
      </c>
      <c r="J6" s="12"/>
      <c r="K6" s="15"/>
      <c r="L6" s="15"/>
      <c r="M6" s="15"/>
      <c r="N6" s="12" t="s">
        <v>790</v>
      </c>
      <c r="O6" s="12"/>
      <c r="P6" s="12"/>
      <c r="Q6" s="12"/>
      <c r="R6" s="12"/>
      <c r="S6" s="114"/>
      <c r="T6" s="138"/>
      <c r="U6" s="114"/>
      <c r="V6" s="114"/>
      <c r="W6" s="114"/>
      <c r="X6" s="114"/>
      <c r="Y6" s="114"/>
      <c r="Z6" s="114"/>
      <c r="AA6" s="12" t="s">
        <v>12</v>
      </c>
      <c r="AB6" s="113"/>
      <c r="AC6" s="113"/>
      <c r="AD6" s="38"/>
      <c r="AE6" s="38"/>
      <c r="AF6" s="38"/>
      <c r="AG6" s="11"/>
      <c r="AH6" s="11"/>
      <c r="AI6" s="11"/>
      <c r="AJ6" s="11"/>
    </row>
    <row r="7" spans="1:52" x14ac:dyDescent="0.35">
      <c r="C7" s="133"/>
      <c r="D7" s="134"/>
      <c r="E7" s="135"/>
      <c r="F7" s="133"/>
      <c r="G7" s="133"/>
      <c r="H7" s="133"/>
      <c r="I7" s="9"/>
      <c r="J7" s="9"/>
      <c r="K7" s="23"/>
      <c r="L7" s="23"/>
      <c r="M7" s="23"/>
      <c r="N7" s="9"/>
      <c r="O7" s="9"/>
      <c r="P7" s="9"/>
      <c r="Q7" s="9"/>
      <c r="R7" s="9"/>
      <c r="S7" s="130"/>
      <c r="T7" s="139"/>
      <c r="U7" s="130"/>
      <c r="V7" s="130"/>
      <c r="W7" s="130"/>
      <c r="X7" s="130"/>
      <c r="Y7" s="130"/>
      <c r="Z7" s="130"/>
      <c r="AA7" s="9"/>
      <c r="AB7" s="131"/>
      <c r="AC7" s="131"/>
      <c r="AD7" s="131"/>
      <c r="AE7" s="131"/>
      <c r="AF7" s="131"/>
      <c r="AG7" s="9"/>
      <c r="AH7" s="9"/>
      <c r="AI7" s="9"/>
      <c r="AJ7" s="9"/>
      <c r="AK7" s="9"/>
      <c r="AL7" s="9"/>
      <c r="AM7" s="9"/>
      <c r="AN7" s="131"/>
      <c r="AO7" s="132"/>
      <c r="AP7" s="132"/>
      <c r="AQ7" s="132"/>
      <c r="AR7" s="12"/>
    </row>
    <row r="8" spans="1:52" ht="21" x14ac:dyDescent="0.5">
      <c r="D8" s="156" t="s">
        <v>874</v>
      </c>
      <c r="E8" s="351" t="s">
        <v>875</v>
      </c>
      <c r="F8" s="351"/>
      <c r="G8" s="351"/>
      <c r="H8" s="351"/>
      <c r="J8" s="361" t="s">
        <v>876</v>
      </c>
      <c r="K8" s="361"/>
      <c r="L8" s="361"/>
      <c r="M8" s="361"/>
      <c r="O8" s="351" t="s">
        <v>877</v>
      </c>
      <c r="P8" s="351"/>
      <c r="Q8" s="351"/>
      <c r="R8" s="362"/>
      <c r="S8" s="363" t="s">
        <v>878</v>
      </c>
      <c r="T8" s="363"/>
      <c r="U8" s="363"/>
      <c r="V8" s="363"/>
      <c r="W8" s="363"/>
      <c r="X8" s="364" t="s">
        <v>879</v>
      </c>
      <c r="Y8" s="364"/>
      <c r="Z8" s="364"/>
      <c r="AB8" s="365" t="s">
        <v>880</v>
      </c>
      <c r="AC8" s="366"/>
      <c r="AD8" s="366"/>
      <c r="AE8" s="366"/>
      <c r="AF8" s="366"/>
      <c r="AG8" s="351" t="s">
        <v>881</v>
      </c>
      <c r="AH8" s="351"/>
      <c r="AI8" s="351"/>
      <c r="AJ8" s="351"/>
      <c r="AK8" s="351"/>
      <c r="AL8" s="352" t="s">
        <v>882</v>
      </c>
      <c r="AM8" s="352"/>
      <c r="AN8" s="352"/>
      <c r="AO8" s="359" t="s">
        <v>883</v>
      </c>
      <c r="AP8" s="359"/>
      <c r="AQ8" s="359"/>
      <c r="AR8" s="12"/>
      <c r="AS8" s="170" t="s">
        <v>884</v>
      </c>
      <c r="AT8" s="117"/>
      <c r="AU8" s="117"/>
      <c r="AV8" s="155"/>
      <c r="AY8" t="s">
        <v>926</v>
      </c>
    </row>
    <row r="9" spans="1:52" ht="21" x14ac:dyDescent="0.5">
      <c r="D9" s="156"/>
      <c r="E9" s="13"/>
      <c r="F9" s="13"/>
      <c r="G9" s="13"/>
      <c r="H9" s="13"/>
      <c r="J9" s="153"/>
      <c r="K9" s="153"/>
      <c r="L9" s="153"/>
      <c r="M9" s="153"/>
      <c r="O9" s="13"/>
      <c r="P9" s="13"/>
      <c r="Q9" s="13"/>
      <c r="R9" s="13"/>
      <c r="S9" s="154"/>
      <c r="T9" s="140"/>
      <c r="U9" s="154"/>
      <c r="V9" s="154"/>
      <c r="W9" s="154"/>
      <c r="X9" s="169" t="s">
        <v>885</v>
      </c>
      <c r="Y9" s="105"/>
      <c r="Z9" s="105"/>
      <c r="AB9" s="154"/>
      <c r="AC9" s="154"/>
      <c r="AD9" s="154"/>
      <c r="AE9" s="154"/>
      <c r="AF9" s="154"/>
      <c r="AG9" s="39" t="s">
        <v>772</v>
      </c>
      <c r="AH9" s="39" t="s">
        <v>772</v>
      </c>
      <c r="AI9" s="13"/>
      <c r="AJ9" s="13"/>
      <c r="AK9" s="13"/>
      <c r="AL9" s="156"/>
      <c r="AM9" s="156"/>
      <c r="AN9" s="156"/>
      <c r="AO9" s="162" t="s">
        <v>544</v>
      </c>
      <c r="AP9" s="162" t="s">
        <v>558</v>
      </c>
      <c r="AQ9" s="162" t="s">
        <v>14</v>
      </c>
      <c r="AR9" s="12"/>
      <c r="AS9" s="162" t="s">
        <v>761</v>
      </c>
      <c r="AT9" s="162" t="s">
        <v>761</v>
      </c>
      <c r="AU9" s="162" t="s">
        <v>761</v>
      </c>
      <c r="AV9" s="162" t="s">
        <v>702</v>
      </c>
      <c r="AY9" s="217" t="s">
        <v>713</v>
      </c>
    </row>
    <row r="10" spans="1:52" x14ac:dyDescent="0.35">
      <c r="D10" s="13" t="s">
        <v>886</v>
      </c>
      <c r="E10" s="49" t="s">
        <v>772</v>
      </c>
      <c r="F10" s="49" t="s">
        <v>887</v>
      </c>
      <c r="G10" s="49" t="s">
        <v>888</v>
      </c>
      <c r="H10" s="49" t="s">
        <v>765</v>
      </c>
      <c r="J10" s="49" t="s">
        <v>707</v>
      </c>
      <c r="K10" s="49" t="s">
        <v>889</v>
      </c>
      <c r="L10" s="157" t="s">
        <v>508</v>
      </c>
      <c r="M10" s="157" t="s">
        <v>713</v>
      </c>
      <c r="O10" t="s">
        <v>772</v>
      </c>
      <c r="P10" t="s">
        <v>888</v>
      </c>
      <c r="Q10" t="s">
        <v>763</v>
      </c>
      <c r="R10" t="s">
        <v>765</v>
      </c>
      <c r="S10" s="39" t="s">
        <v>707</v>
      </c>
      <c r="T10" s="137" t="s">
        <v>708</v>
      </c>
      <c r="U10" s="39" t="s">
        <v>508</v>
      </c>
      <c r="V10" s="39" t="s">
        <v>713</v>
      </c>
      <c r="W10" s="39" t="s">
        <v>723</v>
      </c>
      <c r="X10" s="39" t="s">
        <v>509</v>
      </c>
      <c r="Y10" s="39" t="s">
        <v>713</v>
      </c>
      <c r="Z10" s="39" t="s">
        <v>714</v>
      </c>
      <c r="AB10" s="39" t="s">
        <v>707</v>
      </c>
      <c r="AC10" s="39" t="s">
        <v>509</v>
      </c>
      <c r="AD10" s="39" t="s">
        <v>508</v>
      </c>
      <c r="AE10" s="39" t="s">
        <v>713</v>
      </c>
      <c r="AF10" s="39" t="s">
        <v>723</v>
      </c>
      <c r="AG10" s="39" t="s">
        <v>890</v>
      </c>
      <c r="AH10" s="39" t="s">
        <v>891</v>
      </c>
      <c r="AI10" s="39" t="s">
        <v>888</v>
      </c>
      <c r="AJ10" s="39" t="s">
        <v>892</v>
      </c>
      <c r="AK10" s="39" t="s">
        <v>893</v>
      </c>
      <c r="AL10" s="39" t="s">
        <v>707</v>
      </c>
      <c r="AM10" s="39" t="s">
        <v>708</v>
      </c>
      <c r="AN10" s="39" t="s">
        <v>508</v>
      </c>
      <c r="AO10" s="113" t="s">
        <v>508</v>
      </c>
      <c r="AP10" s="39" t="s">
        <v>508</v>
      </c>
      <c r="AQ10" s="114" t="s">
        <v>508</v>
      </c>
      <c r="AR10" s="12"/>
      <c r="AS10" s="172" t="s">
        <v>509</v>
      </c>
      <c r="AT10" s="172" t="s">
        <v>721</v>
      </c>
      <c r="AU10" s="172" t="s">
        <v>722</v>
      </c>
      <c r="AV10" s="172" t="s">
        <v>713</v>
      </c>
      <c r="AY10" s="172" t="s">
        <v>927</v>
      </c>
    </row>
    <row r="11" spans="1:52" ht="30.75" customHeight="1" x14ac:dyDescent="0.35">
      <c r="D11" s="27"/>
      <c r="F11" s="94"/>
      <c r="G11" s="120"/>
      <c r="H11" s="120"/>
      <c r="I11" s="120"/>
      <c r="K11" s="49"/>
      <c r="L11" s="94"/>
      <c r="M11" s="94"/>
      <c r="N11" s="121"/>
      <c r="O11" s="136"/>
      <c r="P11" s="121"/>
      <c r="Q11" s="121"/>
      <c r="R11" s="121"/>
      <c r="AA11" s="166"/>
      <c r="AB11" s="107"/>
      <c r="AC11" s="107"/>
      <c r="AD11" s="39"/>
      <c r="AE11" s="39"/>
      <c r="AF11" s="39"/>
      <c r="AH11" s="2"/>
      <c r="AO11" s="113"/>
      <c r="AQ11" s="113"/>
      <c r="AR11" s="12"/>
    </row>
    <row r="12" spans="1:52" s="21" customFormat="1" ht="39.65" customHeight="1" x14ac:dyDescent="0.35">
      <c r="A12" s="54" t="s">
        <v>894</v>
      </c>
      <c r="B12" s="87" t="s">
        <v>443</v>
      </c>
      <c r="C12" s="52" t="s">
        <v>843</v>
      </c>
      <c r="D12" s="27">
        <f>'Données environnement'!D$196</f>
        <v>117</v>
      </c>
      <c r="E12" s="27">
        <f>'Données environnement'!D$192/1000*'Données environnement'!D$188*365</f>
        <v>1995.528</v>
      </c>
      <c r="F12" s="94">
        <f>'Données environnement'!D$226</f>
        <v>113.88</v>
      </c>
      <c r="G12" s="120">
        <f>'Données environnement'!D$208</f>
        <v>0.20100000000000001</v>
      </c>
      <c r="H12" s="120"/>
      <c r="I12" s="121" t="s">
        <v>846</v>
      </c>
      <c r="J12">
        <f>'Calcul simpl bovin'!$F$12*'Données environnement'!$J$36*'Données environnement'!D$232</f>
        <v>0.89395799999999992</v>
      </c>
      <c r="K12" s="49">
        <f>'Calcul simpl bovin'!E12*G12*'Données environnement'!D215</f>
        <v>81.423528984000015</v>
      </c>
      <c r="L12" s="94">
        <f>'Données environnement'!$C$237</f>
        <v>19.2</v>
      </c>
      <c r="M12" s="94">
        <f>K12/'Données environnement'!J$28/'Données environnement'!E$96*'Données environnement'!E$97*'Données environnement'!J$29</f>
        <v>151.50447681600005</v>
      </c>
      <c r="N12" s="121" t="s">
        <v>847</v>
      </c>
      <c r="O12" s="136">
        <f>E12-K12 - M12</f>
        <v>1762.5999941999999</v>
      </c>
      <c r="P12" s="121">
        <f>G12</f>
        <v>0.20100000000000001</v>
      </c>
      <c r="Q12" s="121">
        <f>F12-J12/'Données environnement'!J$36-L12/'Données environnement'!J$31</f>
        <v>97.442831404958667</v>
      </c>
      <c r="R12" s="121">
        <f>H12-L12/'Données environnement'!J$31</f>
        <v>-15.867768595041323</v>
      </c>
      <c r="S12" s="114"/>
      <c r="T12" s="138"/>
      <c r="U12" s="114"/>
      <c r="V12" s="114"/>
      <c r="W12" s="114"/>
      <c r="X12" s="114"/>
      <c r="Y12" s="114"/>
      <c r="Z12" s="114"/>
      <c r="AA12" s="166" t="s">
        <v>728</v>
      </c>
      <c r="AB12" s="168"/>
      <c r="AC12" s="168"/>
      <c r="AD12" s="114"/>
      <c r="AE12" s="114"/>
      <c r="AF12" s="114"/>
      <c r="AG12" s="12"/>
      <c r="AH12" s="12"/>
      <c r="AI12" s="12"/>
      <c r="AJ12" s="12"/>
      <c r="AK12" s="12"/>
      <c r="AL12" s="12"/>
      <c r="AM12" s="12"/>
      <c r="AN12" s="113"/>
      <c r="AO12" s="215">
        <f>AJ12*'Données environnement'!BC$251*'Données environnement'!J$31</f>
        <v>0</v>
      </c>
      <c r="AP12" s="32">
        <f>Q12*'Données environnement'!J75*0.55*0.525*'Données environnement'!J$31</f>
        <v>20.4271843545</v>
      </c>
      <c r="AQ12" s="215">
        <f>AJ12*'Données environnement'!BC$253*'Données environnement'!J$31</f>
        <v>0</v>
      </c>
      <c r="AR12" s="123"/>
      <c r="AS12" s="41">
        <f>(K12+T12+AC12+AM12)*'Données environnement'!$J$12</f>
        <v>2214.7199883648004</v>
      </c>
      <c r="AT12" s="41">
        <f>(J12+S12+AB12+AL12)*'Données environnement'!$J$14</f>
        <v>244.05053399999997</v>
      </c>
      <c r="AU12" s="157">
        <f>((L12+0.5*AN12+AP12)*14/17*'Données environnement'!$J$15*44/28)*'Données environnement'!$J$14</f>
        <v>140.00051131360414</v>
      </c>
      <c r="AV12" s="41">
        <f>AS12+AT12+AU12</f>
        <v>2598.7710336784044</v>
      </c>
      <c r="AW12"/>
      <c r="AX12" s="147"/>
      <c r="AY12"/>
      <c r="AZ12"/>
    </row>
    <row r="13" spans="1:52" s="21" customFormat="1" ht="29" x14ac:dyDescent="0.35">
      <c r="A13" s="54" t="s">
        <v>895</v>
      </c>
      <c r="B13"/>
      <c r="C13" s="120"/>
      <c r="D13" s="27">
        <f>'Données environnement'!D$196</f>
        <v>117</v>
      </c>
      <c r="E13" s="27">
        <f>'Données environnement'!D$192/1000*'Données environnement'!D$188*365</f>
        <v>1995.528</v>
      </c>
      <c r="F13" s="94">
        <f>'Données environnement'!D$226</f>
        <v>113.88</v>
      </c>
      <c r="G13" s="120">
        <f>'Données environnement'!D$208</f>
        <v>0.20100000000000001</v>
      </c>
      <c r="H13" s="120"/>
      <c r="I13" s="121" t="s">
        <v>848</v>
      </c>
      <c r="J13">
        <f>'Calcul simpl bovin'!$F$13*'Données environnement'!$J$36*'Données environnement'!D$232</f>
        <v>0.89395799999999992</v>
      </c>
      <c r="K13" s="49">
        <f>'Calcul simpl bovin'!E$13*G$13*'Données environnement'!D$219</f>
        <v>15.642943992000001</v>
      </c>
      <c r="L13" s="94">
        <f>'Données environnement'!$C$237</f>
        <v>19.2</v>
      </c>
      <c r="M13" s="94">
        <f>K13/'Données environnement'!J$28/'Données environnement'!E$96*'Données environnement'!E$97*'Données environnement'!J$29</f>
        <v>29.106771408000004</v>
      </c>
      <c r="N13" s="120" t="s">
        <v>841</v>
      </c>
      <c r="O13" s="136">
        <f t="shared" ref="O13:O19" si="0">E13-K13 - M13</f>
        <v>1950.7782846</v>
      </c>
      <c r="P13" s="121">
        <f t="shared" ref="P13:P19" si="1">G13</f>
        <v>0.20100000000000001</v>
      </c>
      <c r="Q13" s="121">
        <f>F13-J13/'Données environnement'!J$36-L13/'Données environnement'!J$31</f>
        <v>97.442831404958667</v>
      </c>
      <c r="R13" s="121">
        <f>H13-L13/'Données environnement'!J$31</f>
        <v>-15.867768595041323</v>
      </c>
      <c r="S13" s="39">
        <f>Q13*'Données environnement'!$J$49*44/28*('Données environnement'!$J$47+(1-'Données environnement'!$J$48))</f>
        <v>0.11484333701298699</v>
      </c>
      <c r="T13" s="137">
        <f>('Données environnement'!$J$47*X13*'Données environnement'!$J$28+X13*(1-'Données environnement'!J48)*'Données environnement'!J28 + 'Données environnement'!$AF$254*Z13*'Données environnement'!J$58)*'Données environnement'!J$83</f>
        <v>11.438820393572092</v>
      </c>
      <c r="U13" s="39">
        <f>'Données environnement'!J$47*Z13*'Données environnement'!J$50*'Données environnement'!J$52</f>
        <v>6.9174110277344855E-4</v>
      </c>
      <c r="V13" s="39">
        <f>T13/'Données environnement'!J$28/'Données environnement'!E$96*'Données environnement'!E$97*'Données environnement'!J$29</f>
        <v>21.284173269631655</v>
      </c>
      <c r="W13" s="39">
        <f>'Données environnement'!D$200/1000*'Données environnement'!J$45*'Données environnement'!AJ$254</f>
        <v>10.275479999999998</v>
      </c>
      <c r="X13" s="39">
        <f>O13*P13*'Données Production '!B$29</f>
        <v>113.710866209334</v>
      </c>
      <c r="Y13" s="39">
        <f>X13/'Données environnement'!E$96*'Données environnement'!E$97</f>
        <v>75.807244139556005</v>
      </c>
      <c r="Z13" s="39">
        <f t="shared" ref="Z13:Z19" si="2">Y13+X13</f>
        <v>189.51811034888999</v>
      </c>
      <c r="AA13" s="166" t="s">
        <v>7</v>
      </c>
      <c r="AB13" s="107">
        <f>Z13*(1-'Données environnement'!J$58-'Données environnement'!J$47)*'Données environnement'!AM$252</f>
        <v>0</v>
      </c>
      <c r="AC13" s="107">
        <f>Z13*(1-'Données environnement'!J$58-'Données environnement'!J$47-(1-'Données environnement'!$J$48))*'Données environnement'!AQ252</f>
        <v>0.64959227503185535</v>
      </c>
      <c r="AD13" s="39">
        <v>0</v>
      </c>
      <c r="AE13" s="39">
        <f>AC13/'Données environnement'!J$28/'Données environnement'!E$96*'Données environnement'!E$97*'Données environnement'!J$29</f>
        <v>1.208694083890119</v>
      </c>
      <c r="AF13" s="39"/>
      <c r="AG13">
        <f>O13-(X13/'Données environnement'!J$33*'Données environnement'!J$28+Y13/'Données environnement'!J$32*'Données environnement'!J$29) - X13/'Données environnement'!J$34*'Données environnement'!J$28 - Y13/'Données environnement'!J$35*'Données environnement'!J$29</f>
        <v>1732.8324576987766</v>
      </c>
      <c r="AH13">
        <f>E13-(K13+X13)*'Données environnement'!$J$28-(M13+Y13)*'Données environnement'!$J$29</f>
        <v>1712.6717380911764</v>
      </c>
      <c r="AI13">
        <f>P13</f>
        <v>0.20100000000000001</v>
      </c>
      <c r="AJ13">
        <f>Q$13-(S13/'Données environnement'!J$36 + 'Calcul simpl bovin'!U13/'Données environnement'!J$31)</f>
        <v>97.369111095795603</v>
      </c>
      <c r="AK13" s="174">
        <f>AJ13*'Données environnement'!$J$75</f>
        <v>58.42146665747736</v>
      </c>
      <c r="AL13"/>
      <c r="AM13" s="174">
        <f>AG13*AI13*'Données environnement'!$J$74*'Données environnement'!$J$28</f>
        <v>4.8538993792285208</v>
      </c>
      <c r="AN13" s="32">
        <f>AK13*'Données environnement'!AZ$251*'Données environnement'!$J$31</f>
        <v>7.7758972121102365</v>
      </c>
      <c r="AO13" s="215">
        <f>AJ13*'Données environnement'!BC$251*'Données environnement'!J$31</f>
        <v>23.563324885182535</v>
      </c>
      <c r="AP13" s="32">
        <f>AK13*0.55*0.525*'Données environnement'!J$31</f>
        <v>20.411730181789373</v>
      </c>
      <c r="AQ13" s="215">
        <f>AJ13*'Données environnement'!BC$253*'Données environnement'!J$31</f>
        <v>5.8908312212956337</v>
      </c>
      <c r="AR13" s="123"/>
      <c r="AS13" s="41">
        <f>(K13+T13+AC13+AM13)*'Données environnement'!$J$12</f>
        <v>886.31896428344328</v>
      </c>
      <c r="AT13" s="41">
        <f>(J13+S13+AB13+AL13)*'Données environnement'!$J$14</f>
        <v>275.40276500454542</v>
      </c>
      <c r="AU13" s="204">
        <f>((L13+0.5*AN13+AP13)*14/17*'Données environnement'!$J$15*44/28)*'Données environnement'!$J$14</f>
        <v>153.68180635281999</v>
      </c>
      <c r="AV13" s="41">
        <f t="shared" ref="AV13:AV33" si="3">AS13+AT13+AU13</f>
        <v>1315.4035356408085</v>
      </c>
      <c r="AW13" s="32"/>
      <c r="AX13" s="147"/>
      <c r="AY13"/>
      <c r="AZ13"/>
    </row>
    <row r="14" spans="1:52" s="21" customFormat="1" x14ac:dyDescent="0.35">
      <c r="A14" s="54" t="s">
        <v>896</v>
      </c>
      <c r="B14"/>
      <c r="C14" s="120"/>
      <c r="D14" s="27">
        <f>'Données environnement'!D$196</f>
        <v>117</v>
      </c>
      <c r="E14" s="27">
        <f>'Données environnement'!D$192/1000*'Données environnement'!D$188*365</f>
        <v>1995.528</v>
      </c>
      <c r="F14" s="94">
        <f>'Données environnement'!D$226</f>
        <v>113.88</v>
      </c>
      <c r="G14" s="120">
        <f>'Données environnement'!D$208</f>
        <v>0.20100000000000001</v>
      </c>
      <c r="H14" s="120"/>
      <c r="I14" s="120"/>
      <c r="J14">
        <f>'Calcul simpl bovin'!$F$14*'Données environnement'!$J$36*'Données environnement'!D$232</f>
        <v>0.89395799999999992</v>
      </c>
      <c r="K14" s="49">
        <f>'Calcul simpl bovin'!E$14*G$14*'Données environnement'!D$219</f>
        <v>15.642943992000001</v>
      </c>
      <c r="L14" s="94">
        <f>'Données environnement'!$C$237</f>
        <v>19.2</v>
      </c>
      <c r="M14" s="94">
        <f>K14/'Données environnement'!J$28/'Données environnement'!E$96*'Données environnement'!E$97*'Données environnement'!J$29</f>
        <v>29.106771408000004</v>
      </c>
      <c r="N14" s="120" t="s">
        <v>840</v>
      </c>
      <c r="O14" s="136">
        <f t="shared" si="0"/>
        <v>1950.7782846</v>
      </c>
      <c r="P14" s="121">
        <f t="shared" si="1"/>
        <v>0.20100000000000001</v>
      </c>
      <c r="Q14" s="121">
        <f>F14-J14/'Données environnement'!J$36-L14/'Données environnement'!J$31</f>
        <v>97.442831404958667</v>
      </c>
      <c r="R14" s="121">
        <f>H14-L14/'Données environnement'!J$31</f>
        <v>-15.867768595041323</v>
      </c>
      <c r="S14" s="39">
        <f>Q14*'Données environnement'!$J$49*44/28*('Données environnement'!$J$47)</f>
        <v>3.8281112337662342E-2</v>
      </c>
      <c r="T14" s="137">
        <f>('Données environnement'!$J$47*X14*'Données environnement'!$J$28 + 'Données environnement'!$AF$254*Z14*'Données environnement'!J$58)*'Données environnement'!J$83</f>
        <v>13.173077094988676</v>
      </c>
      <c r="U14" s="39">
        <f>'Données environnement'!J$47*Z14*'Données environnement'!J$50*'Données environnement'!J$52</f>
        <v>2.3853141474946501E-3</v>
      </c>
      <c r="V14" s="39">
        <f>T14/'Données environnement'!J$28/'Données environnement'!E$96*'Données environnement'!E$97*'Données environnement'!J$29</f>
        <v>24.511098674257536</v>
      </c>
      <c r="W14" s="39">
        <f>'Données environnement'!D$200/1000*'Données environnement'!J$45*'Données environnement'!AJ$254</f>
        <v>10.275479999999998</v>
      </c>
      <c r="X14" s="39">
        <f>O14*P14*'Données Production '!B$30</f>
        <v>392.10643520460002</v>
      </c>
      <c r="Y14" s="39">
        <f>X14/'Données environnement'!E$96*'Données environnement'!E$97</f>
        <v>261.40429013639999</v>
      </c>
      <c r="Z14" s="39">
        <f t="shared" si="2"/>
        <v>653.51072534100001</v>
      </c>
      <c r="AA14" s="166" t="s">
        <v>4</v>
      </c>
      <c r="AB14" s="107">
        <v>0</v>
      </c>
      <c r="AC14" s="107">
        <f>Z14*(1-'Données environnement'!J$58-'Données environnement'!J$47)*'Données environnement'!$AQ$253*'Données environnement'!$J$28</f>
        <v>0.30491325668043084</v>
      </c>
      <c r="AD14" s="39">
        <v>0</v>
      </c>
      <c r="AE14" s="39">
        <f>AC14/'Données environnement'!J$28/'Données environnement'!E$96*'Données environnement'!E$97*'Données environnement'!J$29</f>
        <v>0.56735103481831417</v>
      </c>
      <c r="AF14" s="39"/>
      <c r="AG14">
        <f>O14-(X14/'Données environnement'!J$33*'Données environnement'!J$28+Y14/'Données environnement'!J$32*'Données environnement'!J$29) - X14/'Données environnement'!J$34*'Données environnement'!J$28 - Y14/'Données environnement'!J$35*'Données environnement'!J$29</f>
        <v>1199.24095045785</v>
      </c>
      <c r="AH14">
        <f>E14-(K14+X14)*'Données environnement'!$J$28-(M14+Y14)*'Données environnement'!$J$29</f>
        <v>1179.08023085025</v>
      </c>
      <c r="AI14">
        <f>P14</f>
        <v>0.20100000000000001</v>
      </c>
      <c r="AJ14">
        <f>Q$14-(S14/'Données environnement'!J$36 + 'Calcul simpl bovin'!U14/'Données environnement'!J$31)</f>
        <v>97.416477196852057</v>
      </c>
      <c r="AK14" s="174">
        <f>AJ14*'Données environnement'!$J$75</f>
        <v>58.449886318111233</v>
      </c>
      <c r="AL14"/>
      <c r="AM14" s="174">
        <f>AG14*AI14*'Données environnement'!$J$74*'Données environnement'!$J$28</f>
        <v>3.3592369990017001</v>
      </c>
      <c r="AN14" s="32">
        <f>AK14*'Données environnement'!AZ$251*'Données environnement'!$J$31</f>
        <v>7.7796798689406046</v>
      </c>
      <c r="AO14" s="215">
        <f>AJ14*'Données environnement'!BC$251*'Données environnement'!J$31</f>
        <v>23.574787481638197</v>
      </c>
      <c r="AP14" s="32">
        <f>AK14*0.55*0.525*'Données environnement'!J$31</f>
        <v>20.421659655969087</v>
      </c>
      <c r="AQ14" s="215">
        <f>AJ14*'Données environnement'!BC$253*'Données environnement'!J$31</f>
        <v>5.8936968704095491</v>
      </c>
      <c r="AR14" s="123"/>
      <c r="AS14" s="41">
        <f>(K14+T14+AC14+AM14)*'Données environnement'!$J$12</f>
        <v>883.46066052064589</v>
      </c>
      <c r="AT14" s="41">
        <f>(J14+S14+AB14+AL14)*'Données environnement'!$J$14</f>
        <v>254.50127766818179</v>
      </c>
      <c r="AU14" s="204">
        <f>((L14+0.5*AN14+AP14)*14/17*'Données environnement'!$J$15*44/28)*'Données environnement'!$J$14</f>
        <v>153.72356855304648</v>
      </c>
      <c r="AV14" s="41">
        <f t="shared" si="3"/>
        <v>1291.6855067418742</v>
      </c>
      <c r="AW14"/>
      <c r="AX14" s="147"/>
      <c r="AY14"/>
      <c r="AZ14"/>
    </row>
    <row r="15" spans="1:52" s="21" customFormat="1" ht="29" x14ac:dyDescent="0.35">
      <c r="A15" s="54" t="s">
        <v>897</v>
      </c>
      <c r="B15"/>
      <c r="C15" s="88" t="s">
        <v>849</v>
      </c>
      <c r="D15" s="27">
        <f>'Données environnement'!D$196</f>
        <v>117</v>
      </c>
      <c r="E15" s="27">
        <f>'Données environnement'!D$192/1000*'Données environnement'!D$188*365</f>
        <v>1995.528</v>
      </c>
      <c r="F15" s="94">
        <f>'Données environnement'!D$226</f>
        <v>113.88</v>
      </c>
      <c r="G15" s="120">
        <f>'Données environnement'!D$208</f>
        <v>0.20100000000000001</v>
      </c>
      <c r="H15" s="120"/>
      <c r="I15" s="121" t="s">
        <v>898</v>
      </c>
      <c r="J15">
        <f>'Calcul simpl bovin'!$F$15*'Données environnement'!$J$36*'Données environnement'!D$231</f>
        <v>0.89395799999999992</v>
      </c>
      <c r="K15" s="49">
        <f>'Calcul simpl bovin'!E15*G15*'Données environnement'!D213</f>
        <v>8.0220225599999999</v>
      </c>
      <c r="L15" s="94">
        <f>'Données environnement'!$C$238</f>
        <v>16.899999999999999</v>
      </c>
      <c r="M15" s="94">
        <f>K15/'Données environnement'!J$28/'Données environnement'!E$96*'Données environnement'!E$97*'Données environnement'!J$29</f>
        <v>14.926549440000001</v>
      </c>
      <c r="N15" s="121" t="s">
        <v>850</v>
      </c>
      <c r="O15" s="136">
        <f t="shared" si="0"/>
        <v>1972.579428</v>
      </c>
      <c r="P15" s="121">
        <f t="shared" si="1"/>
        <v>0.20100000000000001</v>
      </c>
      <c r="Q15" s="121">
        <f>F15-J15/'Données environnement'!J$36-L15/'Données environnement'!J$31</f>
        <v>99.343657851239669</v>
      </c>
      <c r="R15" s="121">
        <f>H15-L15/'Données environnement'!J$31</f>
        <v>-13.96694214876033</v>
      </c>
      <c r="S15" s="39"/>
      <c r="T15" s="138"/>
      <c r="U15" s="114"/>
      <c r="V15" s="114"/>
      <c r="W15" s="114"/>
      <c r="X15" s="114"/>
      <c r="Y15" s="114">
        <f>X15/'Données environnement'!E$96*'Données environnement'!E$97</f>
        <v>0</v>
      </c>
      <c r="Z15" s="114">
        <f t="shared" si="2"/>
        <v>0</v>
      </c>
      <c r="AA15" s="166" t="s">
        <v>728</v>
      </c>
      <c r="AB15" s="168"/>
      <c r="AC15" s="168"/>
      <c r="AD15" s="114"/>
      <c r="AE15" s="114"/>
      <c r="AF15" s="114"/>
      <c r="AG15" s="12"/>
      <c r="AH15" s="12"/>
      <c r="AI15" s="12"/>
      <c r="AJ15" s="12"/>
      <c r="AK15" s="175"/>
      <c r="AL15" s="12"/>
      <c r="AM15" s="175"/>
      <c r="AN15" s="113"/>
      <c r="AO15" s="215">
        <f>AJ15*'Données environnement'!BC$251*'Données environnement'!J$31</f>
        <v>0</v>
      </c>
      <c r="AP15" s="32">
        <f>Q15*'Données environnement'!J75*0.68*0.75*'Données environnement'!J$31</f>
        <v>36.782982756000003</v>
      </c>
      <c r="AQ15" s="215">
        <f>AJ15*'Données environnement'!BC$253*'Données environnement'!J$31</f>
        <v>0</v>
      </c>
      <c r="AR15" s="123"/>
      <c r="AS15" s="41">
        <f>(K15+T15+AC15+AM15)*'Données environnement'!$J$12</f>
        <v>218.199013632</v>
      </c>
      <c r="AT15" s="41">
        <f>(J15+S15+AB15+AL15)*'Données environnement'!$J$14</f>
        <v>244.05053399999997</v>
      </c>
      <c r="AU15" s="204">
        <f>((L15+0.5*AN15+AP15)*14/17*'Données environnement'!$J$15*44/28)*'Données environnement'!$J$14</f>
        <v>189.65882025443298</v>
      </c>
      <c r="AV15" s="208">
        <f t="shared" si="3"/>
        <v>651.90836788643298</v>
      </c>
      <c r="AW15"/>
      <c r="AX15" s="147"/>
      <c r="AY15"/>
      <c r="AZ15"/>
    </row>
    <row r="16" spans="1:52" x14ac:dyDescent="0.35">
      <c r="A16" s="20" t="s">
        <v>899</v>
      </c>
      <c r="D16" s="27">
        <f>'Données environnement'!D$196</f>
        <v>117</v>
      </c>
      <c r="E16" s="27">
        <f>'Données environnement'!D$192/1000*'Données environnement'!D$188*365</f>
        <v>1995.528</v>
      </c>
      <c r="F16" s="94">
        <f>'Données environnement'!D$226</f>
        <v>113.88</v>
      </c>
      <c r="G16" s="120">
        <f>'Données environnement'!D$208</f>
        <v>0.20100000000000001</v>
      </c>
      <c r="J16">
        <f>'Calcul simpl bovin'!$F$15*'Données environnement'!$J$36*'Données environnement'!D$231</f>
        <v>0.89395799999999992</v>
      </c>
      <c r="K16" s="16">
        <f>'Calcul simpl bovin'!E$15*G$16*'Données environnement'!D$214</f>
        <v>6.818719176000001</v>
      </c>
      <c r="L16" s="94">
        <f>'Données environnement'!$C$238</f>
        <v>16.899999999999999</v>
      </c>
      <c r="M16" s="94">
        <f>K16/'Données environnement'!J$28/'Données environnement'!E$96*'Données environnement'!E$97*'Données environnement'!J$29</f>
        <v>12.687567024000003</v>
      </c>
      <c r="N16" s="120" t="s">
        <v>840</v>
      </c>
      <c r="O16" s="136">
        <f t="shared" si="0"/>
        <v>1976.0217138</v>
      </c>
      <c r="P16" s="121">
        <f t="shared" si="1"/>
        <v>0.20100000000000001</v>
      </c>
      <c r="Q16" s="121">
        <f>F16-J16/'Données environnement'!J$36-L16/'Données environnement'!J$31</f>
        <v>99.343657851239669</v>
      </c>
      <c r="R16" s="121">
        <f>H16-L16/'Données environnement'!J$31</f>
        <v>-13.96694214876033</v>
      </c>
      <c r="S16" s="39">
        <f>Q16*'Données environnement'!$J$49*44/28*('Données environnement'!$J$47)</f>
        <v>3.9027865584415587E-2</v>
      </c>
      <c r="T16" s="137">
        <f>('Données environnement'!$J$47*X16*'Données environnement'!$J$28 + 'Données environnement'!$AF$254*Z16*'Données environnement'!J$58)*'Données environnement'!J$83</f>
        <v>13.343539131406962</v>
      </c>
      <c r="U16" s="39">
        <f>'Données environnement'!J$47*Z16*'Données environnement'!J$50*'Données environnement'!J$52</f>
        <v>2.4161805505489502E-3</v>
      </c>
      <c r="V16" s="39">
        <f>T16/'Données environnement'!J$28/'Données environnement'!E$96*'Données environnement'!E$97*'Données environnement'!J$29</f>
        <v>24.828276791772158</v>
      </c>
      <c r="W16" s="39">
        <f>'Données environnement'!D$201/1000*'Données environnement'!J$45*'Données environnement'!AJ$254</f>
        <v>2.8685714999999998</v>
      </c>
      <c r="X16" s="39">
        <f>O16*P16*'Données Production '!B$30</f>
        <v>397.18036447380001</v>
      </c>
      <c r="Y16" s="39">
        <f>X16/'Données environnement'!E$96*'Données environnement'!E$97</f>
        <v>264.78690964920003</v>
      </c>
      <c r="Z16" s="39">
        <f t="shared" si="2"/>
        <v>661.96727412300004</v>
      </c>
      <c r="AA16" s="166" t="s">
        <v>4</v>
      </c>
      <c r="AB16" s="107">
        <v>0</v>
      </c>
      <c r="AC16" s="107">
        <f>Z16*(1-'Données environnement'!J$58-'Données environnement'!J$47)*'Données environnement'!$AQ$253*'Données environnement'!$J$28</f>
        <v>0.30885889020932372</v>
      </c>
      <c r="AD16" s="39">
        <v>0</v>
      </c>
      <c r="AE16" s="39">
        <f>AC16/'Données environnement'!J$28/'Données environnement'!E$96*'Données environnement'!E$97*'Données environnement'!J$29</f>
        <v>0.5746926613845128</v>
      </c>
      <c r="AF16" s="39"/>
      <c r="AG16">
        <f>O16-(X16/'Données environnement'!J$33*'Données environnement'!J$28+Y16/'Données environnement'!J$32*'Données environnement'!J$29) - X16/'Données environnement'!J$34*'Données environnement'!J$28 - Y16/'Données environnement'!J$35*'Données environnement'!J$29</f>
        <v>1214.7593485585501</v>
      </c>
      <c r="AI16">
        <f>P16</f>
        <v>0.20100000000000001</v>
      </c>
      <c r="AJ16">
        <f>Q$16-(S16/'Données environnement'!J$36 + 'Calcul simpl bovin'!U16/'Données environnement'!J$31)</f>
        <v>99.316802494698365</v>
      </c>
      <c r="AK16" s="174">
        <f>AJ16*'Données environnement'!$J$75</f>
        <v>59.590081496819018</v>
      </c>
      <c r="AM16" s="174">
        <f>AG16*AI16*'Données environnement'!$J$74*'Données environnement'!$J$28</f>
        <v>3.4027061425839027</v>
      </c>
      <c r="AN16" s="32">
        <f>AK16*'Données environnement'!AZ$251*'Données environnement'!$J$31</f>
        <v>7.9314398472266108</v>
      </c>
      <c r="AO16" s="215">
        <f>AJ16*'Données environnement'!BC$251*'Données environnement'!J$31</f>
        <v>24.034666203717006</v>
      </c>
      <c r="AP16" s="32">
        <f>AK16*0.55*0.75*'Données environnement'!J$31</f>
        <v>29.742899427099797</v>
      </c>
      <c r="AQ16" s="215">
        <f>AJ16*'Données environnement'!BC$253*'Données environnement'!J$31</f>
        <v>6.0086665509292514</v>
      </c>
      <c r="AR16" s="12"/>
      <c r="AS16" s="41">
        <f>(K16+T16+AC16+AM16)*'Données environnement'!$J$12</f>
        <v>649.367994853445</v>
      </c>
      <c r="AT16" s="41">
        <f>(J16+S16+AB16+AL16)*'Données environnement'!$J$14</f>
        <v>254.70514130454544</v>
      </c>
      <c r="AU16" s="204">
        <f>((L16+0.5*AN16+AP16)*14/17*'Données environnement'!$J$15*44/28)*'Données environnement'!$J$14</f>
        <v>178.79727518846056</v>
      </c>
      <c r="AV16" s="208">
        <f t="shared" si="3"/>
        <v>1082.870411346451</v>
      </c>
      <c r="AX16" s="147"/>
    </row>
    <row r="17" spans="1:51" x14ac:dyDescent="0.35">
      <c r="A17" s="20" t="s">
        <v>900</v>
      </c>
      <c r="D17" s="27">
        <f>'Données environnement'!D$196</f>
        <v>117</v>
      </c>
      <c r="E17" s="27">
        <f>'Données environnement'!D$192/1000*'Données environnement'!D$188*365</f>
        <v>1995.528</v>
      </c>
      <c r="F17" s="94">
        <f>'Données environnement'!D$226</f>
        <v>113.88</v>
      </c>
      <c r="G17" s="120">
        <f>'Données environnement'!D$208</f>
        <v>0.20100000000000001</v>
      </c>
      <c r="J17">
        <f>'Calcul simpl bovin'!$F$15*'Données environnement'!$J$36*'Données environnement'!D$231</f>
        <v>0.89395799999999992</v>
      </c>
      <c r="K17" s="16">
        <f>'Calcul simpl bovin'!E$15*G$17*'Données environnement'!D$214</f>
        <v>6.818719176000001</v>
      </c>
      <c r="L17" s="94">
        <f>'Données environnement'!$C$238</f>
        <v>16.899999999999999</v>
      </c>
      <c r="M17" s="94">
        <f>K17/'Données environnement'!J$28/'Données environnement'!E$96*'Données environnement'!E$97*'Données environnement'!J$29</f>
        <v>12.687567024000003</v>
      </c>
      <c r="N17" s="120" t="s">
        <v>842</v>
      </c>
      <c r="O17" s="136">
        <f t="shared" si="0"/>
        <v>1976.0217138</v>
      </c>
      <c r="P17" s="121">
        <f t="shared" si="1"/>
        <v>0.20100000000000001</v>
      </c>
      <c r="Q17" s="121">
        <f>F17-J17/'Données environnement'!J$36-L17/'Données environnement'!J$31</f>
        <v>99.343657851239669</v>
      </c>
      <c r="R17" s="121">
        <f>H17-L17/'Données environnement'!J$31</f>
        <v>-13.96694214876033</v>
      </c>
      <c r="S17" s="39">
        <f>Q17*'Données environnement'!$J$49*44/28*('Données environnement'!$J$47)</f>
        <v>3.9027865584415587E-2</v>
      </c>
      <c r="T17" s="137">
        <f>('Données environnement'!$J$47*X17*'Données environnement'!$J$28 + 'Données environnement'!$AF$254*Z17*'Données environnement'!J$58)*'Données environnement'!J$83</f>
        <v>13.343539131406962</v>
      </c>
      <c r="U17" s="39">
        <f>'Données environnement'!J$47*Z17*'Données environnement'!J$50*'Données environnement'!J$52</f>
        <v>2.4161805505489502E-3</v>
      </c>
      <c r="V17" s="39">
        <f>T17/'Données environnement'!J$28/'Données environnement'!E$96*'Données environnement'!E$97*'Données environnement'!J$29</f>
        <v>24.828276791772158</v>
      </c>
      <c r="W17" s="39">
        <f>'Données environnement'!D$201/1000*'Données environnement'!J$45*'Données environnement'!AJ$254</f>
        <v>2.8685714999999998</v>
      </c>
      <c r="X17" s="39">
        <f>O17*P17*'Données Production '!B$30</f>
        <v>397.18036447380001</v>
      </c>
      <c r="Y17" s="39">
        <f>X17/'Données environnement'!E$96*'Données environnement'!E$97</f>
        <v>264.78690964920003</v>
      </c>
      <c r="Z17" s="39">
        <f t="shared" si="2"/>
        <v>661.96727412300004</v>
      </c>
      <c r="AA17" s="166" t="s">
        <v>4</v>
      </c>
      <c r="AB17" s="107">
        <v>0</v>
      </c>
      <c r="AC17" s="107">
        <f>Z17*(1-'Données environnement'!J$58-'Données environnement'!J$47)*'Données environnement'!$AQ$253*'Données environnement'!$J$28</f>
        <v>0.30885889020932372</v>
      </c>
      <c r="AD17" s="39">
        <v>0</v>
      </c>
      <c r="AE17" s="39">
        <f>AC17/'Données environnement'!J$28/'Données environnement'!E$96*'Données environnement'!E$97*'Données environnement'!J$29</f>
        <v>0.5746926613845128</v>
      </c>
      <c r="AF17" s="39"/>
      <c r="AG17">
        <f>O17-(X17/'Données environnement'!J$33*'Données environnement'!J$28+Y17/'Données environnement'!J$32*'Données environnement'!J$29) - X17/'Données environnement'!J$34*'Données environnement'!J$28 - Y17/'Données environnement'!J$35*'Données environnement'!J$29</f>
        <v>1214.7593485585501</v>
      </c>
      <c r="AI17">
        <f>P17</f>
        <v>0.20100000000000001</v>
      </c>
      <c r="AJ17">
        <f>Q$17-(S17/'Données environnement'!J$36 + 'Calcul simpl bovin'!U17/'Données environnement'!J$31)</f>
        <v>99.316802494698365</v>
      </c>
      <c r="AK17" s="174">
        <f>AJ17*'Données environnement'!$J$75</f>
        <v>59.590081496819018</v>
      </c>
      <c r="AM17" s="174">
        <f>AG17*AI17*'Données environnement'!$J$74*'Données environnement'!$J$28</f>
        <v>3.4027061425839027</v>
      </c>
      <c r="AN17" s="32">
        <f>AK17*'Données environnement'!AZ$251*'Données environnement'!$J$31</f>
        <v>7.9314398472266108</v>
      </c>
      <c r="AO17" s="215">
        <f>AJ17*'Données environnement'!BC$251*'Données environnement'!J$31</f>
        <v>24.034666203717006</v>
      </c>
      <c r="AP17" s="32">
        <f>AK17*0.55*0.75*'Données environnement'!J$31</f>
        <v>29.742899427099797</v>
      </c>
      <c r="AQ17" s="215">
        <f>AJ17*'Données environnement'!BC$253*'Données environnement'!J$31</f>
        <v>6.0086665509292514</v>
      </c>
      <c r="AR17" s="12"/>
      <c r="AS17" s="41">
        <f>(K17+T17+AC17+AM17)*'Données environnement'!$J$12</f>
        <v>649.367994853445</v>
      </c>
      <c r="AT17" s="41">
        <f>(J17+S17+AB17+AL17)*'Données environnement'!$J$14</f>
        <v>254.70514130454544</v>
      </c>
      <c r="AU17" s="204">
        <f>((L17+0.5*AN17+AP17)*14/17*'Données environnement'!$J$15*44/28)*'Données environnement'!$J$14</f>
        <v>178.79727518846056</v>
      </c>
      <c r="AV17" s="208">
        <f>AS17+AT17+AU17+AY17</f>
        <v>1124.711091346451</v>
      </c>
      <c r="AX17" s="147"/>
      <c r="AY17">
        <f>'Données environnement'!$J$22*'Données environnement'!$J$24*0.046*365</f>
        <v>41.840679999999999</v>
      </c>
    </row>
    <row r="18" spans="1:51" ht="29" x14ac:dyDescent="0.35">
      <c r="A18" s="20" t="s">
        <v>901</v>
      </c>
      <c r="C18" s="52" t="s">
        <v>851</v>
      </c>
      <c r="D18" s="27">
        <f>'Données environnement'!D$196</f>
        <v>117</v>
      </c>
      <c r="E18" s="27">
        <f>'Données environnement'!D$192/1000*'Données environnement'!D$188*365</f>
        <v>1995.528</v>
      </c>
      <c r="F18" s="94">
        <f>'Données environnement'!D$226</f>
        <v>113.88</v>
      </c>
      <c r="G18" s="120">
        <f>'Données environnement'!D$208</f>
        <v>0.20100000000000001</v>
      </c>
      <c r="I18" s="121" t="s">
        <v>852</v>
      </c>
      <c r="J18">
        <f>'Calcul simpl bovin'!$F$18*'Données environnement'!$J$36*'Données environnement'!D$230</f>
        <v>12.515412</v>
      </c>
      <c r="K18" s="94">
        <f>'Calcul simpl bovin'!E18*G18*'Données environnement'!D211</f>
        <v>12.03303384</v>
      </c>
      <c r="L18" s="94">
        <f>'Données environnement'!$C$238</f>
        <v>16.899999999999999</v>
      </c>
      <c r="M18" s="94">
        <f>K18/'Données environnement'!J$28/'Données environnement'!E$96*'Données environnement'!E$97*'Données environnement'!J$29</f>
        <v>22.389824160000003</v>
      </c>
      <c r="N18" s="121" t="s">
        <v>853</v>
      </c>
      <c r="O18" s="136">
        <f t="shared" si="0"/>
        <v>1961.1051420000001</v>
      </c>
      <c r="P18" s="121">
        <f t="shared" si="1"/>
        <v>0.20100000000000001</v>
      </c>
      <c r="Q18" s="121">
        <f>F18-J18/'Données environnement'!J$36-L18/'Données environnement'!J$31</f>
        <v>91.941457851239676</v>
      </c>
      <c r="R18" s="121">
        <f>H18-L18/'Données environnement'!J$31</f>
        <v>-13.96694214876033</v>
      </c>
      <c r="T18" s="138"/>
      <c r="U18" s="114"/>
      <c r="V18" s="114"/>
      <c r="W18" s="114"/>
      <c r="X18" s="114"/>
      <c r="Y18" s="114"/>
      <c r="Z18" s="114"/>
      <c r="AA18" s="166" t="s">
        <v>728</v>
      </c>
      <c r="AB18" s="168"/>
      <c r="AC18" s="168"/>
      <c r="AD18" s="114"/>
      <c r="AE18" s="114"/>
      <c r="AF18" s="114"/>
      <c r="AG18" s="12"/>
      <c r="AH18" s="12"/>
      <c r="AI18" s="12"/>
      <c r="AJ18" s="12"/>
      <c r="AK18" s="175"/>
      <c r="AL18" s="12"/>
      <c r="AM18" s="175"/>
      <c r="AN18" s="113"/>
      <c r="AO18" s="215">
        <f>AJ18*'Données environnement'!BC$251*'Données environnement'!J$31</f>
        <v>0</v>
      </c>
      <c r="AP18" s="32">
        <f>Q18*'Données environnement'!J75*0.68*0.75*'Données environnement'!J$31</f>
        <v>34.042244183999998</v>
      </c>
      <c r="AQ18" s="215">
        <f>AJ18*'Données environnement'!BC$253*'Données environnement'!J$31</f>
        <v>0</v>
      </c>
      <c r="AR18" s="12"/>
      <c r="AS18" s="41">
        <f>(K18+T18+AC18+AM18)*'Données environnement'!$J$12</f>
        <v>327.29852044799998</v>
      </c>
      <c r="AT18" s="41">
        <f>(J18+S18+AB18+AL18)*'Données environnement'!$J$14</f>
        <v>3416.707476</v>
      </c>
      <c r="AU18" s="204">
        <f>((L18+0.5*AN18+AP18)*14/17*'Données environnement'!$J$15*44/28)*'Données environnement'!$J$14</f>
        <v>179.97595209947295</v>
      </c>
      <c r="AV18" s="208">
        <f t="shared" si="3"/>
        <v>3923.9819485474732</v>
      </c>
      <c r="AX18" s="147"/>
    </row>
    <row r="19" spans="1:51" ht="29" x14ac:dyDescent="0.35">
      <c r="A19" s="20" t="s">
        <v>902</v>
      </c>
      <c r="D19" s="27">
        <f>'Données environnement'!D$196</f>
        <v>117</v>
      </c>
      <c r="E19" s="27">
        <f>'Données environnement'!D$192/1000*'Données environnement'!D$188*365</f>
        <v>1995.528</v>
      </c>
      <c r="F19" s="94">
        <f>'Données environnement'!D$226</f>
        <v>113.88</v>
      </c>
      <c r="G19" s="120">
        <f>'Données environnement'!D$208</f>
        <v>0.20100000000000001</v>
      </c>
      <c r="I19" s="121" t="s">
        <v>854</v>
      </c>
      <c r="J19">
        <f>'Calcul simpl bovin'!$F$18*'Données environnement'!$J$36*'Données environnement'!D$230</f>
        <v>12.515412</v>
      </c>
      <c r="K19" s="16">
        <f>'Calcul simpl bovin'!E$15*G$19*'Données environnement'!D$214</f>
        <v>6.818719176000001</v>
      </c>
      <c r="L19" s="94">
        <f>'Données environnement'!$C$238</f>
        <v>16.899999999999999</v>
      </c>
      <c r="M19" s="94">
        <f>K19/'Données environnement'!J$28/'Données environnement'!E$96*'Données environnement'!E$97*'Données environnement'!J$29</f>
        <v>12.687567024000003</v>
      </c>
      <c r="N19" s="120" t="s">
        <v>842</v>
      </c>
      <c r="O19" s="136">
        <f t="shared" si="0"/>
        <v>1976.0217138</v>
      </c>
      <c r="P19" s="121">
        <f t="shared" si="1"/>
        <v>0.20100000000000001</v>
      </c>
      <c r="Q19" s="121">
        <f>F19-J19/'Données environnement'!J$36-L19/'Données environnement'!J$31</f>
        <v>91.941457851239676</v>
      </c>
      <c r="R19" s="121">
        <f>H19-L19/'Données environnement'!J$31</f>
        <v>-13.96694214876033</v>
      </c>
      <c r="S19" s="39">
        <f>Q19*'Données environnement'!$J$49*44/28*('Données environnement'!$J$47)</f>
        <v>3.6119858441558447E-2</v>
      </c>
      <c r="T19" s="137">
        <f>('Données environnement'!$J$47*X19*'Données environnement'!$J$28 + 'Données environnement'!$AF$254*Z19*'Données environnement'!J$58)*'Données environnement'!J$83</f>
        <v>13.343539131406962</v>
      </c>
      <c r="U19" s="39">
        <f>'Données environnement'!J$47*Z19*'Données environnement'!J$50*'Données environnement'!J$52</f>
        <v>2.4161805505489502E-3</v>
      </c>
      <c r="V19" s="39">
        <f>T19/'Données environnement'!J$28/'Données environnement'!E$96*'Données environnement'!E$97*'Données environnement'!J$29</f>
        <v>24.828276791772158</v>
      </c>
      <c r="W19" s="39">
        <f>'Données environnement'!D$201/1000*'Données environnement'!J$45*'Données environnement'!AJ$254</f>
        <v>2.8685714999999998</v>
      </c>
      <c r="X19" s="39">
        <f>O19*P19*'Données Production '!B$30</f>
        <v>397.18036447380001</v>
      </c>
      <c r="Y19" s="39">
        <f>X19/'Données environnement'!E$96*'Données environnement'!E$97</f>
        <v>264.78690964920003</v>
      </c>
      <c r="Z19" s="39">
        <f t="shared" si="2"/>
        <v>661.96727412300004</v>
      </c>
      <c r="AA19" s="166" t="s">
        <v>4</v>
      </c>
      <c r="AB19" s="107">
        <v>0</v>
      </c>
      <c r="AC19" s="107">
        <f>Z19*(1-'Données environnement'!J$58-'Données environnement'!J$47)*'Données environnement'!$AQ$253*'Données environnement'!$J$28</f>
        <v>0.30885889020932372</v>
      </c>
      <c r="AD19" s="39">
        <v>0</v>
      </c>
      <c r="AE19" s="39">
        <f>AC19/'Données environnement'!J$28/'Données environnement'!E$96*'Données environnement'!E$97*'Données environnement'!J$29</f>
        <v>0.5746926613845128</v>
      </c>
      <c r="AF19" s="39"/>
      <c r="AG19">
        <f>O19-(X19/'Données environnement'!J$33*'Données environnement'!J$28+Y19/'Données environnement'!J$32*'Données environnement'!J$29) - X19/'Données environnement'!J$34*'Données environnement'!J$28 - Y19/'Données environnement'!J$35*'Données environnement'!J$29</f>
        <v>1214.7593485585501</v>
      </c>
      <c r="AI19">
        <f>P19</f>
        <v>0.20100000000000001</v>
      </c>
      <c r="AJ19">
        <f>Q$19-(S19/'Données environnement'!J$36 + 'Calcul simpl bovin'!U19/'Données environnement'!J$31)</f>
        <v>91.916454728547336</v>
      </c>
      <c r="AK19" s="174">
        <f>AJ19*'Données environnement'!$J$75</f>
        <v>55.149872837128399</v>
      </c>
      <c r="AM19" s="174">
        <f>AG19*AI19*'Données environnement'!$J$74*'Données environnement'!$J$28</f>
        <v>3.4027061425839027</v>
      </c>
      <c r="AN19" s="32">
        <f>AK19*'Données environnement'!AZ$251*'Données environnement'!$J$31</f>
        <v>7.3404480746217899</v>
      </c>
      <c r="AO19" s="215">
        <f>AJ19*'Données environnement'!BC$251*'Données environnement'!J$31</f>
        <v>22.243782044308457</v>
      </c>
      <c r="AP19" s="32">
        <f>AK19*0.55*0.75*'Données environnement'!J$31</f>
        <v>27.526680279831712</v>
      </c>
      <c r="AQ19" s="215">
        <f>AJ19*'Données environnement'!BC$253*'Données environnement'!J$31</f>
        <v>5.5609455110771142</v>
      </c>
      <c r="AR19" s="12"/>
      <c r="AS19" s="41">
        <f>(K19+T19+AC19+AM19)*'Données environnement'!$J$12</f>
        <v>649.367994853445</v>
      </c>
      <c r="AT19" s="41">
        <f>(J19+S19+AB19+AL19)*'Données environnement'!$J$14</f>
        <v>3426.5681973545456</v>
      </c>
      <c r="AU19" s="204">
        <f>((L19+0.5*AN19+AP19)*14/17*'Données environnement'!$J$15*44/28)*'Données environnement'!$J$14</f>
        <v>169.92353372279911</v>
      </c>
      <c r="AV19" s="208">
        <f>AS19+AT19+AU19+AY19</f>
        <v>4279.5141859307896</v>
      </c>
      <c r="AX19" s="147"/>
      <c r="AY19">
        <f>'Données environnement'!$J$22*'Données environnement'!$J$24*0.037*365</f>
        <v>33.65446</v>
      </c>
    </row>
    <row r="20" spans="1:51" ht="29" x14ac:dyDescent="0.35">
      <c r="A20" s="20" t="s">
        <v>903</v>
      </c>
      <c r="B20" s="87" t="s">
        <v>445</v>
      </c>
      <c r="C20" s="120" t="s">
        <v>851</v>
      </c>
      <c r="D20" s="27">
        <f>'Données environnement'!F$196</f>
        <v>117</v>
      </c>
      <c r="E20" s="27">
        <f>'Données environnement'!F$206*365</f>
        <v>1861.4999999999998</v>
      </c>
      <c r="F20" s="94">
        <f>'Données environnement'!F$226</f>
        <v>131.4</v>
      </c>
      <c r="G20" s="120">
        <f>'Données environnement'!F$208</f>
        <v>0.1608</v>
      </c>
      <c r="H20" s="120"/>
      <c r="I20" s="121" t="s">
        <v>852</v>
      </c>
      <c r="J20">
        <f>'Calcul simpl bovin'!$F$20*'Données environnement'!$J$36*'Données environnement'!F$230</f>
        <v>14.440860000000004</v>
      </c>
      <c r="K20" s="94">
        <f>'Calcul simpl bovin'!E20*G20*'Données environnement'!F212</f>
        <v>60.763827599999999</v>
      </c>
      <c r="L20" s="94">
        <f>'Données environnement'!$C$240</f>
        <v>6.2</v>
      </c>
      <c r="M20" s="94">
        <f>K20/'Données environnement'!J$28/'Données environnement'!E$96*'Données environnement'!E$97*'Données environnement'!J$29</f>
        <v>113.0630424</v>
      </c>
      <c r="N20" s="121" t="s">
        <v>853</v>
      </c>
      <c r="O20" s="136">
        <f t="shared" ref="O20:O25" si="4">E20-K20 - M20</f>
        <v>1687.6731299999997</v>
      </c>
      <c r="P20" s="121">
        <f t="shared" ref="P20:P25" si="5">G20</f>
        <v>0.1608</v>
      </c>
      <c r="Q20" s="121">
        <f>F20-J20/'Données environnement'!J$36-L20/'Données environnement'!J$31</f>
        <v>117.07803305785124</v>
      </c>
      <c r="R20" s="121">
        <f>H20-L20/'Données environnement'!J$31</f>
        <v>-5.123966942148761</v>
      </c>
      <c r="T20" s="138"/>
      <c r="U20" s="114"/>
      <c r="V20" s="114"/>
      <c r="W20" s="114"/>
      <c r="X20" s="114"/>
      <c r="Y20" s="114"/>
      <c r="Z20" s="114"/>
      <c r="AA20" s="166"/>
      <c r="AB20" s="113"/>
      <c r="AC20" s="168"/>
      <c r="AD20" s="113"/>
      <c r="AE20" s="113"/>
      <c r="AF20" s="113"/>
      <c r="AG20" s="12"/>
      <c r="AH20" s="12"/>
      <c r="AI20" s="12"/>
      <c r="AJ20" s="12"/>
      <c r="AK20" s="175"/>
      <c r="AL20" s="12"/>
      <c r="AM20" s="175"/>
      <c r="AN20" s="113"/>
      <c r="AO20" s="215">
        <f>AJ20*'Données environnement'!BC$251*'Données environnement'!J$31</f>
        <v>0</v>
      </c>
      <c r="AP20" s="32">
        <f>Q20*'Données environnement'!J75*0.68*0.75*'Données environnement'!J$31</f>
        <v>43.349312520000005</v>
      </c>
      <c r="AQ20" s="215">
        <f>AJ20*'Données environnement'!BC$253*'Données environnement'!J$31</f>
        <v>0</v>
      </c>
      <c r="AR20" s="12"/>
      <c r="AS20" s="41">
        <f>(K20+T20+AC20+AM20)*'Données environnement'!$J$12</f>
        <v>1652.7761107199999</v>
      </c>
      <c r="AT20" s="41">
        <f>(J20+S20+AB20+AL20)*'Données environnement'!$J$14</f>
        <v>3942.354780000001</v>
      </c>
      <c r="AU20" s="204">
        <f>((L20+0.5*AN20+AP20)*14/17*'Données environnement'!$J$15*44/28)*'Données environnement'!$J$14</f>
        <v>175.0548064677177</v>
      </c>
      <c r="AV20" s="41">
        <f t="shared" si="3"/>
        <v>5770.1856971877187</v>
      </c>
      <c r="AX20" s="147"/>
    </row>
    <row r="21" spans="1:51" ht="29" x14ac:dyDescent="0.35">
      <c r="A21" s="20" t="s">
        <v>904</v>
      </c>
      <c r="D21" s="27">
        <f>'Données environnement'!F$196</f>
        <v>117</v>
      </c>
      <c r="E21" s="27">
        <f>'Données environnement'!F$206*365</f>
        <v>1861.4999999999998</v>
      </c>
      <c r="F21" s="94">
        <f>'Données environnement'!F$226</f>
        <v>131.4</v>
      </c>
      <c r="G21" s="120">
        <f>'Données environnement'!F$208</f>
        <v>0.1608</v>
      </c>
      <c r="I21" s="121" t="s">
        <v>854</v>
      </c>
      <c r="J21">
        <f>'Calcul simpl bovin'!$F$20*'Données environnement'!$J$36*'Données environnement'!F$230</f>
        <v>14.440860000000004</v>
      </c>
      <c r="K21" s="94">
        <f>'Calcul simpl bovin'!E$20*G21*'Données environnement'!F$214</f>
        <v>5.0885963999999992</v>
      </c>
      <c r="L21" s="94">
        <f>'Données environnement'!$C$240</f>
        <v>6.2</v>
      </c>
      <c r="M21" s="94">
        <f>K21/'Données environnement'!J$28/'Données environnement'!E$96*'Données environnement'!E$97*'Données environnement'!J$29</f>
        <v>9.4683335999999994</v>
      </c>
      <c r="N21" s="120" t="s">
        <v>842</v>
      </c>
      <c r="O21" s="136">
        <f t="shared" si="4"/>
        <v>1846.9430699999998</v>
      </c>
      <c r="P21" s="121">
        <f t="shared" si="5"/>
        <v>0.1608</v>
      </c>
      <c r="Q21" s="121">
        <f>F21-J21/'Données environnement'!J$36-L21/'Données environnement'!J$31</f>
        <v>117.07803305785124</v>
      </c>
      <c r="R21" s="121">
        <f>H21-L21/'Données environnement'!J$31</f>
        <v>-5.123966942148761</v>
      </c>
      <c r="S21" s="39">
        <f>Q21*'Données environnement'!$J$49*44/28*('Données environnement'!$J$47)</f>
        <v>4.5994941558441568E-2</v>
      </c>
      <c r="T21" s="137">
        <f>('Données environnement'!$J$47*X21*'Données environnement'!$J$28 + 'Données environnement'!$AF$254*Z21*'Données environnement'!J$58)*'Données environnement'!J$83</f>
        <v>9.9775248241104233</v>
      </c>
      <c r="U21" s="39">
        <f>'Données environnement'!J$47*Z21*'Données environnement'!J$50*'Données environnement'!J$52</f>
        <v>1.8066797110740001E-3</v>
      </c>
      <c r="V21" s="39">
        <f>T21/'Données environnement'!J$28/'Données environnement'!E$96*'Données environnement'!E$97*'Données environnement'!J$29</f>
        <v>18.565145692623378</v>
      </c>
      <c r="W21" s="39">
        <f>'Données environnement'!D$201/1000*'Données environnement'!J$45*'Données environnement'!AJ$254</f>
        <v>2.8685714999999998</v>
      </c>
      <c r="X21" s="39">
        <f>O21*P21*'Données Production '!B$30</f>
        <v>296.98844565599995</v>
      </c>
      <c r="Y21" s="39">
        <f>X21/'Données environnement'!E$96*'Données environnement'!E$97</f>
        <v>197.99229710399999</v>
      </c>
      <c r="Z21" s="39">
        <f t="shared" ref="Z21:Z24" si="6">Y21+X21</f>
        <v>494.98074275999994</v>
      </c>
      <c r="AA21" s="166" t="s">
        <v>4</v>
      </c>
      <c r="AB21" s="32">
        <v>0</v>
      </c>
      <c r="AC21" s="107">
        <f>Z21*(1-'Données environnement'!J$58-'Données environnement'!J$47)*'Données environnement'!$AQ$253*'Données environnement'!$J$28</f>
        <v>0.23094676860934046</v>
      </c>
      <c r="AD21" s="32">
        <v>0</v>
      </c>
      <c r="AE21" s="39">
        <f>AC21/'Données environnement'!J$28/'Données environnement'!E$96*'Données environnement'!E$97*'Données environnement'!J$29</f>
        <v>0.42972184805917085</v>
      </c>
      <c r="AG21">
        <f>O21-(X21/'Données environnement'!J$33*'Données environnement'!J$28+Y21/'Données environnement'!J$32*'Données environnement'!J$29) - X21/'Données environnement'!J$34*'Données environnement'!J$28 - Y21/'Données environnement'!J$35*'Données environnement'!J$29</f>
        <v>1277.7152158259998</v>
      </c>
      <c r="AI21">
        <f>P21</f>
        <v>0.1608</v>
      </c>
      <c r="AJ21">
        <f>Q$21-(S21/'Données environnement'!J$36 + 'Calcul simpl bovin'!U21/'Données environnement'!J$31)</f>
        <v>117.04724379300306</v>
      </c>
      <c r="AK21" s="174">
        <f>AJ21*'Données environnement'!$J$75</f>
        <v>70.22834627580184</v>
      </c>
      <c r="AM21" s="174">
        <f>AG21*AI21*'Données environnement'!$J$74*'Données environnement'!$J$28</f>
        <v>2.8632432710383822</v>
      </c>
      <c r="AN21" s="32">
        <f>AK21*'Données environnement'!AZ$251*'Données environnement'!$J$31</f>
        <v>9.3473928893092246</v>
      </c>
      <c r="AO21" s="215">
        <f>AJ21*'Données environnement'!BC$251*'Données environnement'!J$31</f>
        <v>28.325432997906741</v>
      </c>
      <c r="AP21" s="32">
        <f>AK21*0.55*0.75*'Données environnement'!J$31</f>
        <v>35.052723334909601</v>
      </c>
      <c r="AQ21" s="215">
        <f>AJ21*'Données environnement'!BC$253*'Données environnement'!J$31</f>
        <v>7.0813582494766854</v>
      </c>
      <c r="AR21" s="12"/>
      <c r="AS21" s="41">
        <f>(K21+T21+AC21+AM21)*'Données environnement'!$J$12</f>
        <v>493.96046637422154</v>
      </c>
      <c r="AT21" s="41">
        <f>(J21+S21+AB21+AL21)*'Données environnement'!$J$14</f>
        <v>3954.9113990454557</v>
      </c>
      <c r="AU21" s="204">
        <f>((L21+0.5*AN21+AP21)*14/17*'Données environnement'!$J$15*44/28)*'Données environnement'!$J$14</f>
        <v>162.25533952709571</v>
      </c>
      <c r="AV21" s="41">
        <f>AS21+AT21+AU21+AY21</f>
        <v>4636.3680499467737</v>
      </c>
      <c r="AX21" s="147"/>
      <c r="AY21">
        <f>'Données environnement'!$J$22*'Données environnement'!$J$24*0.75*0.037*365</f>
        <v>25.240844999999997</v>
      </c>
    </row>
    <row r="22" spans="1:51" ht="29" x14ac:dyDescent="0.35">
      <c r="A22" s="20" t="s">
        <v>905</v>
      </c>
      <c r="B22" s="87" t="s">
        <v>446</v>
      </c>
      <c r="C22" t="s">
        <v>856</v>
      </c>
      <c r="D22" s="27">
        <f>'Données environnement'!H$196</f>
        <v>57</v>
      </c>
      <c r="E22" s="27">
        <f>'Données environnement'!H$206*365</f>
        <v>949</v>
      </c>
      <c r="F22" s="94">
        <f>'Données environnement'!H$226</f>
        <v>15.6585</v>
      </c>
      <c r="G22" s="120">
        <f>'Données environnement'!H$208</f>
        <v>0.1206</v>
      </c>
      <c r="I22" s="120" t="s">
        <v>844</v>
      </c>
      <c r="J22" s="120">
        <f>'Calcul simpl bovin'!$F$22*'Données environnement'!$J$36*'Données environnement'!H$234</f>
        <v>4.916769E-2</v>
      </c>
      <c r="K22" s="94">
        <f>'Calcul simpl bovin'!E22*G22*'Données environnement'!H218</f>
        <v>23.233228199999999</v>
      </c>
      <c r="L22" s="94">
        <f>'Données environnement'!$C$239</f>
        <v>6.9</v>
      </c>
      <c r="M22" s="94">
        <f>K22/'Données environnement'!J$28/'Données environnement'!E$96*'Données environnement'!E$97*'Données environnement'!J$29</f>
        <v>43.229986800000006</v>
      </c>
      <c r="N22" s="121" t="s">
        <v>845</v>
      </c>
      <c r="O22" s="136">
        <f t="shared" si="4"/>
        <v>882.53678500000001</v>
      </c>
      <c r="P22" s="121">
        <f t="shared" si="5"/>
        <v>0.1206</v>
      </c>
      <c r="Q22" s="121">
        <f>F22-J22/'Données environnement'!J$36-L22/'Données environnement'!J$31</f>
        <v>9.9247036611570252</v>
      </c>
      <c r="R22" s="121">
        <f>H22-L22/'Données environnement'!J$31</f>
        <v>-5.7024793388429753</v>
      </c>
      <c r="T22" s="138"/>
      <c r="U22" s="114"/>
      <c r="V22" s="114"/>
      <c r="W22" s="114"/>
      <c r="X22" s="114"/>
      <c r="Y22" s="114"/>
      <c r="Z22" s="114"/>
      <c r="AA22" s="166" t="s">
        <v>728</v>
      </c>
      <c r="AB22" s="168"/>
      <c r="AC22" s="168"/>
      <c r="AD22" s="113"/>
      <c r="AE22" s="113"/>
      <c r="AF22" s="113"/>
      <c r="AG22" s="12"/>
      <c r="AH22" s="12"/>
      <c r="AI22" s="12"/>
      <c r="AJ22" s="12"/>
      <c r="AK22" s="175"/>
      <c r="AL22" s="12"/>
      <c r="AM22" s="175"/>
      <c r="AN22" s="113"/>
      <c r="AO22" s="215">
        <f>AJ22*'Données environnement'!BC$251*'Données environnement'!J$31</f>
        <v>0</v>
      </c>
      <c r="AP22" s="32">
        <f>Q22*'Données environnement'!J75*0.55*0.525*'Données environnement'!J$31</f>
        <v>2.0805404402475003</v>
      </c>
      <c r="AQ22" s="215">
        <f>AJ22*'Données environnement'!BC$253*'Données environnement'!J$31</f>
        <v>0</v>
      </c>
      <c r="AR22" s="12"/>
      <c r="AS22" s="41">
        <f>(K22+T22+AC22+AM22)*'Données environnement'!$J$12</f>
        <v>631.94380703999991</v>
      </c>
      <c r="AT22" s="41">
        <f>(J22+S22+AB22+AL22)*'Données environnement'!$J$14</f>
        <v>13.422779370000001</v>
      </c>
      <c r="AU22" s="204">
        <f>((L22+0.5*AN22+AP22)*14/17*'Données environnement'!$J$15*44/28)*'Données environnement'!$J$14</f>
        <v>31.727721108309698</v>
      </c>
      <c r="AV22" s="41">
        <f t="shared" si="3"/>
        <v>677.09430751830951</v>
      </c>
      <c r="AX22" s="147"/>
    </row>
    <row r="23" spans="1:51" x14ac:dyDescent="0.35">
      <c r="A23" s="20" t="s">
        <v>906</v>
      </c>
      <c r="D23" s="27">
        <f>'Données environnement'!H$196</f>
        <v>57</v>
      </c>
      <c r="E23" s="27">
        <f>'Données environnement'!H$206*365</f>
        <v>949</v>
      </c>
      <c r="F23" s="94">
        <f>'Données environnement'!H$226</f>
        <v>15.6585</v>
      </c>
      <c r="G23" s="120">
        <f>'Données environnement'!H$208</f>
        <v>0.1206</v>
      </c>
      <c r="I23" t="s">
        <v>61</v>
      </c>
      <c r="J23" s="120">
        <f>'Calcul simpl bovin'!$F$22*'Données environnement'!$J$36*'Données environnement'!H$234</f>
        <v>4.916769E-2</v>
      </c>
      <c r="K23" s="16">
        <f>'Calcul simpl bovin'!E$22*G$22*'Données environnement'!H$219</f>
        <v>4.4635265999999998</v>
      </c>
      <c r="L23" s="94">
        <f>'Données environnement'!$C$239</f>
        <v>6.9</v>
      </c>
      <c r="M23" s="94">
        <f>K23/'Données environnement'!J$28/'Données environnement'!E$96*'Données environnement'!E$97*'Données environnement'!J$29</f>
        <v>8.305268400000001</v>
      </c>
      <c r="N23" s="120" t="s">
        <v>841</v>
      </c>
      <c r="O23" s="136">
        <f t="shared" si="4"/>
        <v>936.23120499999993</v>
      </c>
      <c r="P23" s="121">
        <f t="shared" si="5"/>
        <v>0.1206</v>
      </c>
      <c r="Q23" s="121">
        <f>F23-J23/'Données environnement'!J$36-L23/'Données environnement'!J$31</f>
        <v>9.9247036611570252</v>
      </c>
      <c r="R23" s="121">
        <f>H23-L23/'Données environnement'!J$31</f>
        <v>-5.7024793388429753</v>
      </c>
      <c r="S23" s="39">
        <f>Q23*'Données environnement'!$J$49*44/28*('Données environnement'!$J$47+(1-'Données environnement'!$J$48))</f>
        <v>1.169697217207792E-2</v>
      </c>
      <c r="T23" s="137">
        <f>('Données environnement'!$J$47*X23*'Données environnement'!$J$28 +X23*(1-'Données environnement'!J48)*'Données environnement'!J28+ 'Données environnement'!$AF$254*Z23*'Données environnement'!J$58)*'Données environnement'!J$83</f>
        <v>3.2938793768811587</v>
      </c>
      <c r="U23" s="39">
        <f>'Données environnement'!J$47*Z23*'Données environnement'!J$50*'Données environnement'!J$52</f>
        <v>1.9919114682899247E-4</v>
      </c>
      <c r="V23" s="39">
        <f>T23/'Données environnement'!J$28/'Données environnement'!E$96*'Données environnement'!E$97*'Données environnement'!J$29</f>
        <v>6.128909885341062</v>
      </c>
      <c r="W23" s="39">
        <f>'Données environnement'!H$200/1000*'Données environnement'!J$45*'Données environnement'!AJ$254</f>
        <v>0.99329639999999997</v>
      </c>
      <c r="X23" s="39">
        <f>O23*P23*'Données Production '!B$29</f>
        <v>32.743750163669993</v>
      </c>
      <c r="Y23" s="39">
        <f>X23/'Données environnement'!E$96*'Données environnement'!E$97</f>
        <v>21.829166775779996</v>
      </c>
      <c r="Z23" s="39">
        <f t="shared" si="6"/>
        <v>54.572916939449989</v>
      </c>
      <c r="AA23" s="12" t="s">
        <v>7</v>
      </c>
      <c r="AB23" s="107">
        <f>Z23*(1-'Données environnement'!J$58-'Données environnement'!J$47)*'Données environnement'!AM$252</f>
        <v>0</v>
      </c>
      <c r="AC23" s="107">
        <f>Z23*(1-'Données environnement'!J$58-'Données environnement'!J$47-(1-'Données environnement'!J48))*'Données environnement'!$AQ$252</f>
        <v>0.18705413010165878</v>
      </c>
      <c r="AD23" s="32">
        <v>0</v>
      </c>
      <c r="AE23" s="39">
        <f>AC23/'Données environnement'!J$28/'Données environnement'!E$96*'Données environnement'!E$97*'Données environnement'!J$29</f>
        <v>0.34805096844786265</v>
      </c>
      <c r="AG23">
        <f>O23-(X23/'Données environnement'!J$33*'Données environnement'!J$28+Y23/'Données environnement'!J$32*'Données environnement'!J$29) - X23/'Données environnement'!J$34*'Données environnement'!J$28 - Y23/'Données environnement'!J$35*'Données environnement'!J$29</f>
        <v>873.47235051963241</v>
      </c>
      <c r="AI23">
        <f>P23</f>
        <v>0.1206</v>
      </c>
      <c r="AJ23">
        <f>Q$23-(S23/'Données environnement'!J$36 + 'Calcul simpl bovin'!U23/'Données environnement'!J$31)</f>
        <v>9.9170887396279745</v>
      </c>
      <c r="AK23" s="174">
        <f>AJ23*'Données environnement'!$J$75</f>
        <v>5.9502532437767846</v>
      </c>
      <c r="AM23" s="174">
        <f>AG23*AI23*'Données environnement'!$J$74*'Données environnement'!$J$28</f>
        <v>1.4680289076270967</v>
      </c>
      <c r="AN23" s="32">
        <f>AK23*'Données environnement'!AZ$251*'Données environnement'!$J$31</f>
        <v>0.79197870674669002</v>
      </c>
      <c r="AO23" s="215">
        <f>AJ23*'Données environnement'!BC$251*'Données environnement'!J$31</f>
        <v>2.3999354749899697</v>
      </c>
      <c r="AP23" s="32">
        <f>AK23*0.55*0.525*'Données environnement'!J$31</f>
        <v>2.0789441052100615</v>
      </c>
      <c r="AQ23" s="215">
        <f>AJ23*'Données environnement'!BC$253*'Données environnement'!J$31</f>
        <v>0.59998386874749243</v>
      </c>
      <c r="AR23" s="12"/>
      <c r="AS23" s="41">
        <f>(K23+T23+AC23+AM23)*'Données environnement'!$J$12</f>
        <v>256.01970119738968</v>
      </c>
      <c r="AT23" s="41">
        <f>(J23+S23+AB23+AL23)*'Données environnement'!$J$14</f>
        <v>16.616052772977273</v>
      </c>
      <c r="AU23" s="204">
        <f>((L23+0.5*AN23+AP23)*14/17*'Données environnement'!$J$15*44/28)*'Données environnement'!$J$14</f>
        <v>33.121088442501147</v>
      </c>
      <c r="AV23" s="41">
        <f t="shared" si="3"/>
        <v>305.75684241286814</v>
      </c>
      <c r="AX23" s="147"/>
    </row>
    <row r="24" spans="1:51" x14ac:dyDescent="0.35">
      <c r="A24" s="20" t="s">
        <v>907</v>
      </c>
      <c r="D24" s="27">
        <f>'Données environnement'!H$196</f>
        <v>57</v>
      </c>
      <c r="E24" s="27">
        <f>'Données environnement'!H$206*365</f>
        <v>949</v>
      </c>
      <c r="F24" s="94">
        <f>'Données environnement'!H$226</f>
        <v>15.6585</v>
      </c>
      <c r="G24" s="120">
        <f>'Données environnement'!H$208</f>
        <v>0.1206</v>
      </c>
      <c r="I24" t="s">
        <v>61</v>
      </c>
      <c r="J24" s="120">
        <f>'Calcul simpl bovin'!$F$22*'Données environnement'!$J$36*'Données environnement'!H$234</f>
        <v>4.916769E-2</v>
      </c>
      <c r="K24" s="16">
        <f>'Calcul simpl bovin'!E$22*G$22*'Données environnement'!H$219</f>
        <v>4.4635265999999998</v>
      </c>
      <c r="L24" s="94">
        <f>'Données environnement'!$C$239</f>
        <v>6.9</v>
      </c>
      <c r="M24" s="94">
        <f>K24/'Données environnement'!J$28/'Données environnement'!E$96*'Données environnement'!E$97*'Données environnement'!J$29</f>
        <v>8.305268400000001</v>
      </c>
      <c r="N24" s="120" t="s">
        <v>840</v>
      </c>
      <c r="O24" s="136">
        <f t="shared" si="4"/>
        <v>936.23120499999993</v>
      </c>
      <c r="P24" s="121">
        <f t="shared" si="5"/>
        <v>0.1206</v>
      </c>
      <c r="Q24" s="121">
        <f>F24-J24/'Données environnement'!J$36-L24/'Données environnement'!J$31</f>
        <v>9.9247036611570252</v>
      </c>
      <c r="R24" s="121">
        <f>H24-L24/'Données environnement'!J$31</f>
        <v>-5.7024793388429753</v>
      </c>
      <c r="S24" s="39">
        <f>Q24*'Données environnement'!$J$49*44/28*('Données environnement'!$J$47)</f>
        <v>3.8989907240259743E-3</v>
      </c>
      <c r="T24" s="137">
        <f>('Données environnement'!$J$47*X24*'Données environnement'!$J$28 + 'Données environnement'!$AF$254*Z24*'Données environnement'!J$58)*'Données environnement'!J$83</f>
        <v>3.7932693652250671</v>
      </c>
      <c r="U24" s="39">
        <f>'Données environnement'!J$47*Z24*'Données environnement'!J$50*'Données environnement'!J$52</f>
        <v>6.8686602354825E-4</v>
      </c>
      <c r="V24" s="39">
        <f>T24/'Données environnement'!J$28/'Données environnement'!E$96*'Données environnement'!E$97*'Données environnement'!J$29</f>
        <v>7.0581230974834588</v>
      </c>
      <c r="W24" s="39">
        <f>'Données environnement'!H$200/1000*'Données environnement'!J$45*'Données environnement'!AJ$254</f>
        <v>0.99329639999999997</v>
      </c>
      <c r="X24" s="39">
        <f>O24*P24*'Données Production '!B$30</f>
        <v>112.90948332299999</v>
      </c>
      <c r="Y24" s="39">
        <f>X24/'Données environnement'!E$96*'Données environnement'!E$97</f>
        <v>75.272988881999993</v>
      </c>
      <c r="Z24" s="39">
        <f t="shared" si="6"/>
        <v>188.18247220499998</v>
      </c>
      <c r="AA24" s="166" t="s">
        <v>4</v>
      </c>
      <c r="AB24" s="107">
        <v>0</v>
      </c>
      <c r="AC24" s="107">
        <f>Z24*(1-'Données environnement'!J$58-'Données environnement'!J$47)*'Données environnement'!$AQ$253*'Données environnement'!$J$28</f>
        <v>8.780166602508449E-2</v>
      </c>
      <c r="AD24" s="32">
        <v>0</v>
      </c>
      <c r="AE24" s="39">
        <f>AC24/'Données environnement'!J$28/'Données environnement'!E$96*'Données environnement'!E$97*'Données environnement'!J$29</f>
        <v>0.16337225419592835</v>
      </c>
      <c r="AG24">
        <f>O24-(X24/'Données environnement'!J$33*'Données environnement'!J$28+Y24/'Données environnement'!J$32*'Données environnement'!J$29) - X24/'Données environnement'!J$34*'Données environnement'!J$28 - Y24/'Données environnement'!J$35*'Données environnement'!J$29</f>
        <v>719.82136196424995</v>
      </c>
      <c r="AI24">
        <f>P24</f>
        <v>0.1206</v>
      </c>
      <c r="AJ24">
        <f>Q$24-(S24/'Données environnement'!J$36 + 'Calcul simpl bovin'!U24/'Données environnement'!J$31)</f>
        <v>9.9216525697041416</v>
      </c>
      <c r="AK24" s="174">
        <f>AJ24*'Données environnement'!$J$75</f>
        <v>5.9529915418224846</v>
      </c>
      <c r="AM24" s="174">
        <f>AG24*AI24*'Données environnement'!$J$74*'Données environnement'!$J$28</f>
        <v>1.2097905183402549</v>
      </c>
      <c r="AN24" s="32">
        <f>AK24*'Données environnement'!AZ$251*'Données environnement'!$J$31</f>
        <v>0.79234317421657263</v>
      </c>
      <c r="AO24" s="215">
        <f>AJ24*'Données environnement'!BC$251*'Données environnement'!J$31</f>
        <v>2.4010399218684024</v>
      </c>
      <c r="AP24" s="32">
        <f>AK24*0.55*0.525*'Données environnement'!J$31</f>
        <v>2.0799008323185038</v>
      </c>
      <c r="AQ24" s="215">
        <f>AJ24*'Données environnement'!BC$253*'Données environnement'!J$31</f>
        <v>0.60025998046710061</v>
      </c>
      <c r="AR24" s="12"/>
      <c r="AS24" s="41">
        <f>(K24+T24+AC24+AM24)*'Données environnement'!$J$12</f>
        <v>259.87935766885903</v>
      </c>
      <c r="AT24" s="41">
        <f>(J24+S24+AB24+AL24)*'Données environnement'!$J$14</f>
        <v>14.487203837659091</v>
      </c>
      <c r="AU24" s="204">
        <f>((L24+0.5*AN24+AP24)*14/17*'Données environnement'!$J$15*44/28)*'Données environnement'!$J$14</f>
        <v>33.125112324163119</v>
      </c>
      <c r="AV24" s="41">
        <f t="shared" si="3"/>
        <v>307.49167383068124</v>
      </c>
      <c r="AX24" s="147"/>
    </row>
    <row r="25" spans="1:51" ht="46.15" customHeight="1" x14ac:dyDescent="0.35">
      <c r="A25" s="20" t="s">
        <v>908</v>
      </c>
      <c r="B25" s="87" t="s">
        <v>444</v>
      </c>
      <c r="C25" s="120" t="s">
        <v>843</v>
      </c>
      <c r="D25" s="27">
        <f>'Données environnement'!E$196</f>
        <v>57</v>
      </c>
      <c r="E25" s="27">
        <f>'Données environnement'!E$206*365</f>
        <v>949</v>
      </c>
      <c r="F25" s="94">
        <f>'Données environnement'!E$226</f>
        <v>36.135000000000005</v>
      </c>
      <c r="G25" s="120">
        <f>'Données environnement'!E$208</f>
        <v>0.1474</v>
      </c>
      <c r="H25" s="120"/>
      <c r="I25" s="121" t="s">
        <v>846</v>
      </c>
      <c r="J25" s="121">
        <f>'Calcul simpl bovin'!$F25*'Données environnement'!$J$36*'Données environnement'!E$232</f>
        <v>0.28365975000000004</v>
      </c>
      <c r="K25" s="94">
        <f>'Calcul simpl bovin'!E25*G25*'Données environnement'!E215</f>
        <v>28.396167800000001</v>
      </c>
      <c r="L25" s="94">
        <f>'Données environnement'!$C$239</f>
        <v>6.9</v>
      </c>
      <c r="M25" s="94">
        <f>K25/'Données environnement'!J$28/'Données environnement'!E$96*'Données environnement'!E$97*'Données environnement'!J$29</f>
        <v>52.836650533333348</v>
      </c>
      <c r="N25" s="121" t="s">
        <v>847</v>
      </c>
      <c r="O25" s="136">
        <f t="shared" si="4"/>
        <v>867.7671816666666</v>
      </c>
      <c r="P25" s="121">
        <f t="shared" si="5"/>
        <v>0.1474</v>
      </c>
      <c r="Q25" s="121">
        <f>F25-J25/'Données environnement'!J$36-L25/'Données environnement'!J$31</f>
        <v>30.251845661157027</v>
      </c>
      <c r="R25" s="121">
        <f>H25-L25/'Données environnement'!J$31</f>
        <v>-5.7024793388429753</v>
      </c>
      <c r="T25" s="138"/>
      <c r="U25" s="114"/>
      <c r="V25" s="114"/>
      <c r="W25" s="114"/>
      <c r="X25" s="114"/>
      <c r="Y25" s="114"/>
      <c r="Z25" s="114"/>
      <c r="AA25" s="166" t="s">
        <v>728</v>
      </c>
      <c r="AB25" s="168"/>
      <c r="AC25" s="168"/>
      <c r="AD25" s="113"/>
      <c r="AE25" s="113"/>
      <c r="AF25" s="113"/>
      <c r="AG25" s="12"/>
      <c r="AH25" s="12"/>
      <c r="AI25" s="12"/>
      <c r="AJ25" s="12"/>
      <c r="AK25" s="175"/>
      <c r="AL25" s="12"/>
      <c r="AM25" s="175"/>
      <c r="AN25" s="113"/>
      <c r="AO25" s="215">
        <f>AJ25*'Données environnement'!BC$251*'Données environnement'!J$31</f>
        <v>0</v>
      </c>
      <c r="AP25" s="32">
        <f>Q25*'Données environnement'!J75*0.55*0.525*'Données environnement'!J$31</f>
        <v>6.3417700355625</v>
      </c>
      <c r="AQ25" s="215">
        <f>AJ25*'Données environnement'!BC$253*'Données environnement'!J$31</f>
        <v>0</v>
      </c>
      <c r="AR25" s="12"/>
      <c r="AS25" s="41">
        <f>(K25+T25+AC25+AM25)*'Données environnement'!$J$12</f>
        <v>772.37576416000002</v>
      </c>
      <c r="AT25" s="41">
        <f>(J25+S25+AB25+AL25)*'Données environnement'!$J$14</f>
        <v>77.439111750000009</v>
      </c>
      <c r="AU25" s="204">
        <f>((L25+0.5*AN25+AP25)*14/17*'Données environnement'!$J$15*44/28)*'Données environnement'!$J$14</f>
        <v>46.782394607993162</v>
      </c>
      <c r="AV25" s="41">
        <f t="shared" si="3"/>
        <v>896.59727051799325</v>
      </c>
      <c r="AX25" s="147"/>
    </row>
    <row r="26" spans="1:51" ht="29" x14ac:dyDescent="0.35">
      <c r="A26" s="20" t="s">
        <v>909</v>
      </c>
      <c r="D26" s="27">
        <f>'Données environnement'!E$196</f>
        <v>57</v>
      </c>
      <c r="E26" s="27">
        <f>'Données environnement'!E$206*365</f>
        <v>949</v>
      </c>
      <c r="F26" s="94">
        <f>'Données environnement'!E$226</f>
        <v>36.135000000000005</v>
      </c>
      <c r="G26" s="120">
        <f>'Données environnement'!E$208</f>
        <v>0.1474</v>
      </c>
      <c r="I26" s="121" t="s">
        <v>848</v>
      </c>
      <c r="J26" s="121">
        <f>'Calcul simpl bovin'!$F26*'Données environnement'!$J$36*'Données environnement'!E$232</f>
        <v>0.28365975000000004</v>
      </c>
      <c r="K26" s="94">
        <f>'Calcul simpl bovin'!E$25*G$25*'Données environnement'!E$219</f>
        <v>5.4554213999999996</v>
      </c>
      <c r="L26" s="94">
        <f>'Données environnement'!$C$239</f>
        <v>6.9</v>
      </c>
      <c r="M26" s="94">
        <f>K26/'Données environnement'!J$28/'Données environnement'!E$96*'Données environnement'!E$97*'Données environnement'!J$29</f>
        <v>10.150883600000002</v>
      </c>
      <c r="N26" s="120" t="s">
        <v>841</v>
      </c>
      <c r="O26" s="136">
        <f t="shared" ref="O26:O34" si="7">E26-K26 - M26</f>
        <v>933.39369499999998</v>
      </c>
      <c r="P26" s="121">
        <f t="shared" ref="P26:P34" si="8">G26</f>
        <v>0.1474</v>
      </c>
      <c r="Q26" s="121">
        <f>F26-J26/'Données environnement'!J$36-L26/'Données environnement'!J$31</f>
        <v>30.251845661157027</v>
      </c>
      <c r="R26" s="121">
        <f>H26-L26/'Données environnement'!J$31</f>
        <v>-5.7024793388429753</v>
      </c>
      <c r="S26" s="39">
        <f>Q26*'Données environnement'!$J$49*44/28*('Données environnement'!$J$47+(1-'Données environnement'!$J$48))</f>
        <v>3.5653960957792198E-2</v>
      </c>
      <c r="T26" s="137">
        <f>('Données environnement'!$J$47*X26*'Données environnement'!$J$28 +X26*(1-'Données environnement'!J48)*'Données environnement'!J28 + 'Données environnement'!$AF$254*Z26*'Données environnement'!J$58)*'Données environnement'!J$83</f>
        <v>4.0136511017757073</v>
      </c>
      <c r="U26" s="39">
        <f>'Données environnement'!J$47*Z26*'Données environnement'!J$50*'Données environnement'!J$52</f>
        <v>2.4271798522602583E-4</v>
      </c>
      <c r="V26" s="39">
        <f>T26/'Données environnement'!J$28/'Données environnement'!E$96*'Données environnement'!E$97*'Données environnement'!J$29</f>
        <v>7.4681866271846493</v>
      </c>
      <c r="W26" s="39">
        <f>'Données environnement'!D$200/1000*'Données environnement'!J$45*'Données environnement'!AJ$254</f>
        <v>10.275479999999998</v>
      </c>
      <c r="X26" s="39">
        <f>O26*P26*'Données Production '!B$29</f>
        <v>39.898846886469997</v>
      </c>
      <c r="Y26" s="39">
        <f>X26/'Données environnement'!E$96*'Données environnement'!E$97</f>
        <v>26.599231257646665</v>
      </c>
      <c r="Z26" s="39">
        <f t="shared" ref="Z26:Z34" si="9">Y26+X26</f>
        <v>66.498078144116661</v>
      </c>
      <c r="AA26" s="12" t="s">
        <v>7</v>
      </c>
      <c r="AB26" s="107">
        <f>Z26*(1-'Données environnement'!J$58-'Données environnement'!J$47)*'Données environnement'!AM$252</f>
        <v>0</v>
      </c>
      <c r="AC26" s="107">
        <f>Z26*(1-'Données environnement'!J$58-'Données environnement'!J$47-(1-'Données environnement'!J48))*'Données environnement'!$AQ$252</f>
        <v>0.22792881264677428</v>
      </c>
      <c r="AD26" s="32">
        <v>0</v>
      </c>
      <c r="AE26" s="39">
        <f>AC26/'Données environnement'!J$28/'Données environnement'!E$96*'Données environnement'!E$97*'Données environnement'!J$29</f>
        <v>0.42410634790991836</v>
      </c>
      <c r="AG26">
        <f>O26-(X26/'Données environnement'!J$33*'Données environnement'!J$28+Y26/'Données environnement'!J$32*'Données environnement'!J$29) - X26/'Données environnement'!J$34*'Données environnement'!J$28 - Y26/'Données environnement'!J$35*'Données environnement'!J$29</f>
        <v>856.92090513426569</v>
      </c>
      <c r="AI26">
        <f>P26</f>
        <v>0.1474</v>
      </c>
      <c r="AJ26">
        <f>Q$25-(S26/'Données environnement'!J$36 + 'Calcul simpl bovin'!U26/'Données environnement'!J$31)</f>
        <v>30.228935538508328</v>
      </c>
      <c r="AK26" s="174">
        <f>AJ26*'Données environnement'!$J$75</f>
        <v>18.137361323104997</v>
      </c>
      <c r="AM26" s="174">
        <f>AG26*AI26*'Données environnement'!$J$74*'Données environnement'!$J$28</f>
        <v>1.7602581307843963</v>
      </c>
      <c r="AN26" s="32">
        <f>AK26*'Données environnement'!AZ$251*'Données environnement'!$J$31</f>
        <v>2.4140827921052748</v>
      </c>
      <c r="AO26" s="215">
        <f>AJ26*'Données environnement'!BC$251*'Données environnement'!J$31</f>
        <v>7.3154024003190159</v>
      </c>
      <c r="AP26" s="32">
        <f>AK26*0.55*0.525*'Données environnement'!J$31</f>
        <v>6.3369673292763489</v>
      </c>
      <c r="AQ26" s="215">
        <f>AJ26*'Données environnement'!BC$253*'Données environnement'!J$31</f>
        <v>1.828850600079754</v>
      </c>
      <c r="AR26" s="12"/>
      <c r="AS26" s="41">
        <f>(K26+T26+AC26+AM26)*'Données environnement'!$J$12</f>
        <v>311.63745690962708</v>
      </c>
      <c r="AT26" s="41">
        <f>(J26+S26+AB26+AL26)*'Données environnement'!$J$14</f>
        <v>87.172643091477283</v>
      </c>
      <c r="AU26" s="204">
        <f>((L26+0.5*AN26+AP26)*14/17*'Données environnement'!$J$15*44/28)*'Données environnement'!$J$14</f>
        <v>51.029833179015242</v>
      </c>
      <c r="AV26" s="41">
        <f t="shared" si="3"/>
        <v>449.8399331801196</v>
      </c>
      <c r="AX26" s="147"/>
    </row>
    <row r="27" spans="1:51" x14ac:dyDescent="0.35">
      <c r="A27" s="20" t="s">
        <v>910</v>
      </c>
      <c r="D27" s="27">
        <f>'Données environnement'!E$196</f>
        <v>57</v>
      </c>
      <c r="E27" s="27">
        <f>'Données environnement'!E$206*365</f>
        <v>949</v>
      </c>
      <c r="F27" s="94">
        <f>'Données environnement'!E$226</f>
        <v>36.135000000000005</v>
      </c>
      <c r="G27" s="120">
        <f>'Données environnement'!E$208</f>
        <v>0.1474</v>
      </c>
      <c r="J27" s="121">
        <f>'Calcul simpl bovin'!$F27*'Données environnement'!$J$36*'Données environnement'!E$232</f>
        <v>0.28365975000000004</v>
      </c>
      <c r="K27" s="94">
        <f>'Calcul simpl bovin'!E$25*G$25*'Données environnement'!E$219</f>
        <v>5.4554213999999996</v>
      </c>
      <c r="L27" s="94">
        <f>'Données environnement'!$C$239</f>
        <v>6.9</v>
      </c>
      <c r="M27" s="94">
        <f>K27/'Données environnement'!J$28/'Données environnement'!E$96*'Données environnement'!E$97*'Données environnement'!J$29</f>
        <v>10.150883600000002</v>
      </c>
      <c r="N27" s="120" t="s">
        <v>840</v>
      </c>
      <c r="O27" s="136">
        <f t="shared" si="7"/>
        <v>933.39369499999998</v>
      </c>
      <c r="P27" s="121">
        <f t="shared" si="8"/>
        <v>0.1474</v>
      </c>
      <c r="Q27" s="121">
        <f>F27-J27/'Données environnement'!J$36-L27/'Données environnement'!J$31</f>
        <v>30.251845661157027</v>
      </c>
      <c r="R27" s="121">
        <f>H27-L27/'Données environnement'!J$31</f>
        <v>-5.7024793388429753</v>
      </c>
      <c r="S27" s="39">
        <f>Q27*'Données environnement'!$J$49*44/28*('Données environnement'!$J$47)</f>
        <v>1.1884653652597403E-2</v>
      </c>
      <c r="T27" s="137">
        <f>('Données environnement'!$J$47*X27*'Données environnement'!$J$28 + 'Données environnement'!$AF$254*Z27*'Données environnement'!J$58)*'Données environnement'!J$83</f>
        <v>4.6221667599386809</v>
      </c>
      <c r="U27" s="39">
        <f>'Données environnement'!J$47*Z27*'Données environnement'!J$50*'Données environnement'!J$52</f>
        <v>8.3695856974491678E-4</v>
      </c>
      <c r="V27" s="39">
        <f>T27/'Données environnement'!J$28/'Données environnement'!E$96*'Données environnement'!E$97*'Données environnement'!J$29</f>
        <v>8.6004495931197358</v>
      </c>
      <c r="W27" s="39">
        <f>'Données environnement'!D$200/1000*'Données environnement'!J$45*'Données environnement'!AJ$254</f>
        <v>10.275479999999998</v>
      </c>
      <c r="X27" s="39">
        <f>O27*P27*'Données Production '!B$30</f>
        <v>137.582230643</v>
      </c>
      <c r="Y27" s="39">
        <f>X27/'Données environnement'!E$96*'Données environnement'!E$97</f>
        <v>91.721487095333345</v>
      </c>
      <c r="Z27" s="39">
        <f t="shared" si="9"/>
        <v>229.30371773833335</v>
      </c>
      <c r="AA27" s="166" t="s">
        <v>4</v>
      </c>
      <c r="AB27" s="107">
        <v>0</v>
      </c>
      <c r="AC27" s="107">
        <f>Z27*(1-'Données environnement'!J$58-'Données environnement'!J$47)*'Données environnement'!$AQ$253*'Données environnement'!$J$28</f>
        <v>0.10698790491623932</v>
      </c>
      <c r="AD27" s="32">
        <v>0</v>
      </c>
      <c r="AE27" s="39">
        <f>AC27/'Données environnement'!J$28/'Données environnement'!E$96*'Données environnement'!E$97*'Données environnement'!J$29</f>
        <v>0.19907202208295277</v>
      </c>
      <c r="AG27">
        <f>O27-(X27/'Données environnement'!J$33*'Données environnement'!J$28+Y27/'Données environnement'!J$32*'Données environnement'!J$29) - X27/'Données environnement'!J$34*'Données environnement'!J$28 - Y27/'Données environnement'!J$35*'Données environnement'!J$29</f>
        <v>669.6944196009166</v>
      </c>
      <c r="AI27">
        <f>P27</f>
        <v>0.1474</v>
      </c>
      <c r="AJ27">
        <f>Q$25-(S27/'Données environnement'!J$36 + 'Calcul simpl bovin'!U27/'Données environnement'!J$31)</f>
        <v>30.24358411676889</v>
      </c>
      <c r="AK27" s="174">
        <f>AJ27*'Données environnement'!$J$75</f>
        <v>18.146150470061333</v>
      </c>
      <c r="AM27" s="174">
        <f>AG27*AI27*'Données environnement'!$J$74*'Données environnement'!$J$28</f>
        <v>1.3756637750117042</v>
      </c>
      <c r="AN27" s="32">
        <f>AK27*'Données environnement'!AZ$251*'Données environnement'!$J$31</f>
        <v>2.4152526275651636</v>
      </c>
      <c r="AO27" s="215">
        <f>AJ27*'Données environnement'!BC$251*'Données environnement'!J$31</f>
        <v>7.3189473562580716</v>
      </c>
      <c r="AP27" s="32">
        <f>AK27*0.55*0.525*'Données environnement'!J$31</f>
        <v>6.3400381473585545</v>
      </c>
      <c r="AQ27" s="215">
        <f>AJ27*'Données environnement'!BC$253*'Données environnement'!J$31</f>
        <v>1.8297368390645179</v>
      </c>
      <c r="AR27" s="12"/>
      <c r="AS27" s="41">
        <f>(K27+T27+AC27+AM27)*'Données environnement'!$J$12</f>
        <v>314.4385236443722</v>
      </c>
      <c r="AT27" s="41">
        <f>(J27+S27+AB27+AL27)*'Données environnement'!$J$14</f>
        <v>80.683622197159096</v>
      </c>
      <c r="AU27" s="204">
        <f>((L27+0.5*AN27+AP27)*14/17*'Données environnement'!$J$15*44/28)*'Données environnement'!$J$14</f>
        <v>51.042748678596269</v>
      </c>
      <c r="AV27" s="41">
        <f t="shared" si="3"/>
        <v>446.16489452012752</v>
      </c>
      <c r="AX27" s="147"/>
    </row>
    <row r="28" spans="1:51" ht="29" x14ac:dyDescent="0.35">
      <c r="A28" s="20" t="s">
        <v>911</v>
      </c>
      <c r="C28" s="120" t="s">
        <v>849</v>
      </c>
      <c r="D28" s="27">
        <f>'Données environnement'!E$196</f>
        <v>57</v>
      </c>
      <c r="E28" s="27">
        <f>'Données environnement'!E$206*365</f>
        <v>949</v>
      </c>
      <c r="F28" s="94">
        <f>'Données environnement'!E$226</f>
        <v>36.135000000000005</v>
      </c>
      <c r="G28" s="120">
        <f>'Données environnement'!E$208</f>
        <v>0.1474</v>
      </c>
      <c r="H28" s="120"/>
      <c r="I28" s="121" t="s">
        <v>898</v>
      </c>
      <c r="J28" s="121">
        <f>'Calcul simpl bovin'!$F28*'Données environnement'!$J$36*'Données environnement'!E$232</f>
        <v>0.28365975000000004</v>
      </c>
      <c r="K28" s="94">
        <f>'Calcul simpl bovin'!E28*G28*'Données environnement'!E213</f>
        <v>2.7976519999999998</v>
      </c>
      <c r="L28" s="94">
        <f>'Données environnement'!$C$240</f>
        <v>6.2</v>
      </c>
      <c r="M28" s="94">
        <f>K28/'Données environnement'!J$28/'Données environnement'!E$96*'Données environnement'!E$97*'Données environnement'!J$29</f>
        <v>5.2055813333333329</v>
      </c>
      <c r="N28" s="121" t="s">
        <v>855</v>
      </c>
      <c r="O28" s="136">
        <f t="shared" si="7"/>
        <v>940.99676666666664</v>
      </c>
      <c r="P28" s="121">
        <f t="shared" si="8"/>
        <v>0.1474</v>
      </c>
      <c r="Q28" s="121">
        <f>F28-J28/'Données environnement'!J$36-L28/'Données environnement'!J$31</f>
        <v>30.830358057851242</v>
      </c>
      <c r="R28" s="121">
        <f>H28-L28/'Données environnement'!J$31</f>
        <v>-5.123966942148761</v>
      </c>
      <c r="T28" s="138"/>
      <c r="U28" s="114"/>
      <c r="V28" s="114"/>
      <c r="W28" s="114"/>
      <c r="X28" s="114"/>
      <c r="Y28" s="114"/>
      <c r="Z28" s="114"/>
      <c r="AA28" s="166" t="s">
        <v>728</v>
      </c>
      <c r="AB28" s="168"/>
      <c r="AC28" s="168"/>
      <c r="AD28" s="113"/>
      <c r="AE28" s="113"/>
      <c r="AF28" s="113"/>
      <c r="AG28" s="12"/>
      <c r="AH28" s="12"/>
      <c r="AI28" s="12"/>
      <c r="AJ28" s="12"/>
      <c r="AK28" s="175"/>
      <c r="AL28" s="12"/>
      <c r="AM28" s="175"/>
      <c r="AN28" s="113"/>
      <c r="AO28" s="215">
        <f>AJ28*'Données environnement'!BC$251*'Données environnement'!J$31</f>
        <v>0</v>
      </c>
      <c r="AP28" s="32">
        <f>Q28*'Données environnement'!J75*0.68*0.75*'Données environnement'!J$31</f>
        <v>11.415248374500001</v>
      </c>
      <c r="AQ28" s="215">
        <f>AJ28*'Données environnement'!BC$253*'Données environnement'!J$31</f>
        <v>0</v>
      </c>
      <c r="AR28" s="12"/>
      <c r="AS28" s="41">
        <f>(K28+T28+AC28+AM28)*'Données environnement'!$J$12</f>
        <v>76.096134399999997</v>
      </c>
      <c r="AT28" s="41">
        <f>(J28+S28+AB28+AL28)*'Données environnement'!$J$14</f>
        <v>77.439111750000009</v>
      </c>
      <c r="AU28" s="204">
        <f>((L28+0.5*AN28+AP28)*14/17*'Données environnement'!$J$15*44/28)*'Données environnement'!$J$14</f>
        <v>62.233636316027656</v>
      </c>
      <c r="AV28" s="208">
        <f t="shared" si="3"/>
        <v>215.76888246602766</v>
      </c>
      <c r="AX28" s="147"/>
    </row>
    <row r="29" spans="1:51" x14ac:dyDescent="0.35">
      <c r="A29" s="20" t="s">
        <v>912</v>
      </c>
      <c r="D29" s="27">
        <f>'Données environnement'!E$196</f>
        <v>57</v>
      </c>
      <c r="E29" s="27">
        <f>'Données environnement'!E$206*365</f>
        <v>949</v>
      </c>
      <c r="F29" s="94">
        <f>'Données environnement'!E$226</f>
        <v>36.135000000000005</v>
      </c>
      <c r="G29" s="120">
        <f>'Données environnement'!E$208</f>
        <v>0.1474</v>
      </c>
      <c r="J29" s="121">
        <f>'Calcul simpl bovin'!$F29*'Données environnement'!$J$36*'Données environnement'!E$232</f>
        <v>0.28365975000000004</v>
      </c>
      <c r="K29" s="94">
        <f>'Calcul simpl bovin'!E$28*G$28*'Données environnement'!E$214</f>
        <v>2.3780041999999999</v>
      </c>
      <c r="L29" s="94">
        <f>'Données environnement'!$C$240</f>
        <v>6.2</v>
      </c>
      <c r="M29" s="94">
        <f>K29/'Données environnement'!J$28/'Données environnement'!E$96*'Données environnement'!E$97*'Données environnement'!J$29</f>
        <v>4.4247441333333342</v>
      </c>
      <c r="N29" s="120" t="s">
        <v>840</v>
      </c>
      <c r="O29" s="136">
        <f t="shared" si="7"/>
        <v>942.19725166666672</v>
      </c>
      <c r="P29" s="121">
        <f t="shared" si="8"/>
        <v>0.1474</v>
      </c>
      <c r="Q29" s="121">
        <f>F29-J29/'Données environnement'!J$36-L29/'Données environnement'!J$31</f>
        <v>30.830358057851242</v>
      </c>
      <c r="R29" s="121">
        <f>H29-L29/'Données environnement'!J$31</f>
        <v>-5.123966942148761</v>
      </c>
      <c r="S29" s="39">
        <f>Q29*'Données environnement'!$J$49*44/28*('Données environnement'!$J$47)</f>
        <v>1.211192637987013E-2</v>
      </c>
      <c r="T29" s="137">
        <f>('Données environnement'!$J$47*X29*'Données environnement'!$J$28 + 'Données environnement'!$AF$254*Z29*'Données environnement'!J$58)*'Données environnement'!J$83</f>
        <v>4.6657619837031863</v>
      </c>
      <c r="U29" s="39">
        <f>'Données environnement'!J$47*Z29*'Données environnement'!J$50*'Données environnement'!J$52</f>
        <v>8.4485257228197256E-4</v>
      </c>
      <c r="V29" s="39">
        <f>T29/'Données environnement'!J$28/'Données environnement'!E$96*'Données environnement'!E$97*'Données environnement'!J$29</f>
        <v>8.6815670741541897</v>
      </c>
      <c r="W29" s="39">
        <f>'Données environnement'!D$201/1000*'Données environnement'!J$45*'Données environnement'!AJ$254</f>
        <v>2.8685714999999998</v>
      </c>
      <c r="X29" s="39">
        <f>O29*P29*'Données Production '!B$30</f>
        <v>138.87987489566669</v>
      </c>
      <c r="Y29" s="39">
        <f>X29/'Données environnement'!E$96*'Données environnement'!E$97</f>
        <v>92.586583263777811</v>
      </c>
      <c r="Z29" s="39">
        <f t="shared" si="9"/>
        <v>231.4664581594445</v>
      </c>
      <c r="AA29" s="166" t="s">
        <v>4</v>
      </c>
      <c r="AB29" s="107">
        <v>0</v>
      </c>
      <c r="AC29" s="107">
        <f>Z29*(1-'Données environnement'!J$58-'Données environnement'!J$47)*'Données environnement'!$AQ$253*'Données environnement'!$J$28</f>
        <v>0.10799699045926742</v>
      </c>
      <c r="AD29" s="32">
        <v>0</v>
      </c>
      <c r="AE29" s="39">
        <f>AC29/'Données environnement'!J$28/'Données environnement'!E$96*'Données environnement'!E$97*'Données environnement'!J$29</f>
        <v>0.20094962403863689</v>
      </c>
      <c r="AG29">
        <f>O29-(X29/'Données environnement'!J$33*'Données environnement'!J$28+Y29/'Données environnement'!J$32*'Données environnement'!J$29) - X29/'Données environnement'!J$34*'Données environnement'!J$28 - Y29/'Données environnement'!J$35*'Données environnement'!J$29</f>
        <v>676.01082478330545</v>
      </c>
      <c r="AI29">
        <f>P29</f>
        <v>0.1474</v>
      </c>
      <c r="AJ29">
        <f>Q$28-(S29/'Données environnement'!J$36 + 'Calcul simpl bovin'!U29/'Données environnement'!J$31)</f>
        <v>30.821945229795169</v>
      </c>
      <c r="AK29" s="174">
        <f>AJ29*'Données environnement'!$J$75</f>
        <v>18.493167137877101</v>
      </c>
      <c r="AM29" s="174">
        <f>AG29*AI29*'Données environnement'!$J$74*'Données environnement'!$J$28</f>
        <v>1.3886387223061536</v>
      </c>
      <c r="AN29" s="32">
        <f>AK29*'Données environnement'!AZ$251*'Données environnement'!$J$31</f>
        <v>2.4614405460514424</v>
      </c>
      <c r="AO29" s="215">
        <f>AJ29*'Données environnement'!BC$251*'Données environnement'!J$31</f>
        <v>7.4589107456104307</v>
      </c>
      <c r="AP29" s="32">
        <f>AK29*0.55*0.75*'Données environnement'!J$31</f>
        <v>9.230402047692909</v>
      </c>
      <c r="AQ29" s="215">
        <f>AJ29*'Données environnement'!BC$253*'Données environnement'!J$31</f>
        <v>1.8647276864026077</v>
      </c>
      <c r="AR29" s="12"/>
      <c r="AS29" s="41">
        <f>(K29+T29+AC29+AM29)*'Données environnement'!$J$12</f>
        <v>232.29893158394611</v>
      </c>
      <c r="AT29" s="41">
        <f>(J29+S29+AB29+AL29)*'Données environnement'!$J$14</f>
        <v>80.745667651704551</v>
      </c>
      <c r="AU29" s="204">
        <f>((L29+0.5*AN29+AP29)*14/17*'Données environnement'!$J$15*44/28)*'Données environnement'!$J$14</f>
        <v>58.862765093080043</v>
      </c>
      <c r="AV29" s="208">
        <f t="shared" si="3"/>
        <v>371.90736432873069</v>
      </c>
      <c r="AX29" s="147"/>
    </row>
    <row r="30" spans="1:51" x14ac:dyDescent="0.35">
      <c r="A30" s="20" t="s">
        <v>913</v>
      </c>
      <c r="D30" s="27">
        <f>'Données environnement'!E$196</f>
        <v>57</v>
      </c>
      <c r="E30" s="27">
        <f>'Données environnement'!E$206*365</f>
        <v>949</v>
      </c>
      <c r="F30" s="94">
        <f>'Données environnement'!E$226</f>
        <v>36.135000000000005</v>
      </c>
      <c r="G30" s="120">
        <f>'Données environnement'!E$208</f>
        <v>0.1474</v>
      </c>
      <c r="J30" s="121">
        <f>'Calcul simpl bovin'!$F30*'Données environnement'!$J$36*'Données environnement'!E$232</f>
        <v>0.28365975000000004</v>
      </c>
      <c r="K30" s="94">
        <f>'Calcul simpl bovin'!E$28*G$28*'Données environnement'!E$214</f>
        <v>2.3780041999999999</v>
      </c>
      <c r="L30" s="94">
        <f>'Données environnement'!$C$240</f>
        <v>6.2</v>
      </c>
      <c r="M30" s="94">
        <f>K30/'Données environnement'!J$28/'Données environnement'!E$96*'Données environnement'!E$97*'Données environnement'!J$29</f>
        <v>4.4247441333333342</v>
      </c>
      <c r="N30" s="120" t="s">
        <v>842</v>
      </c>
      <c r="O30" s="136">
        <f t="shared" si="7"/>
        <v>942.19725166666672</v>
      </c>
      <c r="P30" s="121">
        <f t="shared" si="8"/>
        <v>0.1474</v>
      </c>
      <c r="Q30" s="121">
        <f>F30-J30/'Données environnement'!J$36-L30/'Données environnement'!J$31</f>
        <v>30.830358057851242</v>
      </c>
      <c r="R30" s="121">
        <f>H30-L30/'Données environnement'!J$31</f>
        <v>-5.123966942148761</v>
      </c>
      <c r="S30" s="39">
        <f>Q30*'Données environnement'!$J$49*44/28*('Données environnement'!$J$47)</f>
        <v>1.211192637987013E-2</v>
      </c>
      <c r="T30" s="137">
        <f>('Données environnement'!$J$47*X30*'Données environnement'!$J$28 + 'Données environnement'!$AF$254*Z30*'Données environnement'!J$58)*'Données environnement'!J$83</f>
        <v>4.6657619837031863</v>
      </c>
      <c r="U30" s="39">
        <f>'Données environnement'!J$47*Z30*'Données environnement'!J$50*'Données environnement'!J$52</f>
        <v>8.4485257228197256E-4</v>
      </c>
      <c r="V30" s="39">
        <f>T30/'Données environnement'!J$28/'Données environnement'!E$96*'Données environnement'!E$97*'Données environnement'!J$29</f>
        <v>8.6815670741541897</v>
      </c>
      <c r="W30" s="39">
        <f>'Données environnement'!D$201/1000*'Données environnement'!J$45*'Données environnement'!AJ$254</f>
        <v>2.8685714999999998</v>
      </c>
      <c r="X30" s="39">
        <f>O30*P30*'Données Production '!B$30</f>
        <v>138.87987489566669</v>
      </c>
      <c r="Y30" s="39">
        <f>X30/'Données environnement'!E$96*'Données environnement'!E$97</f>
        <v>92.586583263777811</v>
      </c>
      <c r="Z30" s="39">
        <f t="shared" si="9"/>
        <v>231.4664581594445</v>
      </c>
      <c r="AA30" s="166" t="s">
        <v>4</v>
      </c>
      <c r="AB30" s="107">
        <v>0</v>
      </c>
      <c r="AC30" s="107">
        <f>Z30*(1-'Données environnement'!J$58-'Données environnement'!J$47)*'Données environnement'!$AQ$253*'Données environnement'!$J$28</f>
        <v>0.10799699045926742</v>
      </c>
      <c r="AD30" s="32">
        <v>0</v>
      </c>
      <c r="AE30" s="39">
        <f>AC30/'Données environnement'!J$28/'Données environnement'!E$96*'Données environnement'!E$97*'Données environnement'!J$29</f>
        <v>0.20094962403863689</v>
      </c>
      <c r="AG30">
        <f>O30-(X30/'Données environnement'!J$33*'Données environnement'!J$28+Y30/'Données environnement'!J$32*'Données environnement'!J$29) - X30/'Données environnement'!J$34*'Données environnement'!J$28 - Y30/'Données environnement'!J$35*'Données environnement'!J$29</f>
        <v>676.01082478330545</v>
      </c>
      <c r="AI30">
        <f>P30</f>
        <v>0.1474</v>
      </c>
      <c r="AJ30">
        <f>Q$28-(S30/'Données environnement'!J$36 + 'Calcul simpl bovin'!U30/'Données environnement'!J$31)</f>
        <v>30.821945229795169</v>
      </c>
      <c r="AK30" s="174">
        <f>AJ30*'Données environnement'!$J$75</f>
        <v>18.493167137877101</v>
      </c>
      <c r="AM30" s="174">
        <f>AG30*AI30*'Données environnement'!$J$74*'Données environnement'!$J$28</f>
        <v>1.3886387223061536</v>
      </c>
      <c r="AN30" s="32">
        <f>AK30*'Données environnement'!AZ$251*'Données environnement'!$J$31</f>
        <v>2.4614405460514424</v>
      </c>
      <c r="AO30" s="215">
        <f>AJ30*'Données environnement'!BC$251*'Données environnement'!J$31</f>
        <v>7.4589107456104307</v>
      </c>
      <c r="AP30" s="32">
        <f>AK30*0.55*0.75*'Données environnement'!J$31</f>
        <v>9.230402047692909</v>
      </c>
      <c r="AQ30" s="215">
        <f>AJ30*'Données environnement'!BC$253*'Données environnement'!J$31</f>
        <v>1.8647276864026077</v>
      </c>
      <c r="AR30" s="12"/>
      <c r="AS30" s="41">
        <f>(K30+T30+AC30+AM30)*'Données environnement'!$J$12</f>
        <v>232.29893158394611</v>
      </c>
      <c r="AT30" s="41">
        <f>(J30+S30+AB30+AL30)*'Données environnement'!$J$14</f>
        <v>80.745667651704551</v>
      </c>
      <c r="AU30" s="204">
        <f>((L30+0.5*AN30+AP30)*14/17*'Données environnement'!$J$15*44/28)*'Données environnement'!$J$14</f>
        <v>58.862765093080043</v>
      </c>
      <c r="AV30" s="208">
        <f>AS30+AT30+AU30+AY30</f>
        <v>403.28787432873071</v>
      </c>
      <c r="AX30" s="147"/>
      <c r="AY30">
        <f>'Données environnement'!$J$22*'Données environnement'!$J$24*0.75*0.046*365</f>
        <v>31.380509999999997</v>
      </c>
    </row>
    <row r="31" spans="1:51" ht="29" x14ac:dyDescent="0.35">
      <c r="A31" s="20" t="s">
        <v>914</v>
      </c>
      <c r="C31" s="120" t="s">
        <v>851</v>
      </c>
      <c r="D31" s="27">
        <f>'Données environnement'!E$196</f>
        <v>57</v>
      </c>
      <c r="E31" s="27">
        <f>'Données environnement'!E$206*365</f>
        <v>949</v>
      </c>
      <c r="F31" s="94">
        <f>'Données environnement'!E$226</f>
        <v>36.135000000000005</v>
      </c>
      <c r="G31" s="120">
        <f>'Données environnement'!E$208</f>
        <v>0.1474</v>
      </c>
      <c r="H31" s="120"/>
      <c r="I31" s="121" t="s">
        <v>852</v>
      </c>
      <c r="J31" s="121">
        <f>'Calcul simpl bovin'!$F31*'Données environnement'!$J$36*'Données environnement'!E$230</f>
        <v>3.9712365000000012</v>
      </c>
      <c r="K31" s="94">
        <f>'Calcul simpl bovin'!E31*G31*'Données environnement'!E212</f>
        <v>28.396167800000001</v>
      </c>
      <c r="L31" s="94">
        <f>'Données environnement'!$C$240</f>
        <v>6.2</v>
      </c>
      <c r="M31" s="94">
        <f>K31/'Données environnement'!J$28/'Données environnement'!E$96*'Données environnement'!E$97*'Données environnement'!J$29</f>
        <v>52.836650533333348</v>
      </c>
      <c r="N31" s="121" t="s">
        <v>855</v>
      </c>
      <c r="O31" s="136">
        <f t="shared" si="7"/>
        <v>867.7671816666666</v>
      </c>
      <c r="P31" s="121">
        <f t="shared" si="8"/>
        <v>0.1474</v>
      </c>
      <c r="Q31" s="121">
        <f>F31-J31/'Données environnement'!J$36-L31/'Données environnement'!J$31</f>
        <v>28.481583057851246</v>
      </c>
      <c r="R31" s="121">
        <f>H31-L31/'Données environnement'!J$31</f>
        <v>-5.123966942148761</v>
      </c>
      <c r="T31" s="138"/>
      <c r="U31" s="114"/>
      <c r="V31" s="114"/>
      <c r="W31" s="114"/>
      <c r="X31" s="114"/>
      <c r="Y31" s="114"/>
      <c r="Z31" s="114"/>
      <c r="AA31" s="166" t="s">
        <v>728</v>
      </c>
      <c r="AB31" s="168"/>
      <c r="AC31" s="168"/>
      <c r="AD31" s="113"/>
      <c r="AE31" s="113"/>
      <c r="AF31" s="113"/>
      <c r="AG31" s="12"/>
      <c r="AH31" s="12"/>
      <c r="AI31" s="12"/>
      <c r="AJ31" s="12"/>
      <c r="AK31" s="175"/>
      <c r="AL31" s="12"/>
      <c r="AM31" s="175"/>
      <c r="AN31" s="113"/>
      <c r="AO31" s="215">
        <f>AJ31*'Données environnement'!BC$251*'Données environnement'!J$31</f>
        <v>0</v>
      </c>
      <c r="AP31" s="32">
        <f>Q31*'Données environnement'!J75*0.68*0.75*'Données environnement'!J$31</f>
        <v>10.545590943000002</v>
      </c>
      <c r="AQ31" s="215">
        <f>AJ31*'Données environnement'!BC$253*'Données environnement'!J$31</f>
        <v>0</v>
      </c>
      <c r="AR31" s="12"/>
      <c r="AS31" s="41">
        <f>(K31+T31+AC31+AM31)*'Données environnement'!$J$12</f>
        <v>772.37576416000002</v>
      </c>
      <c r="AT31" s="41">
        <f>(J31+S31+AB31+AL31)*'Données environnement'!$J$14</f>
        <v>1084.1475645000003</v>
      </c>
      <c r="AU31" s="204">
        <f>((L31+0.5*AN31+AP31)*14/17*'Données environnement'!$J$15*44/28)*'Données environnement'!$J$14</f>
        <v>59.161187766857665</v>
      </c>
      <c r="AV31" s="41">
        <f t="shared" si="3"/>
        <v>1915.684516426858</v>
      </c>
      <c r="AX31" s="147"/>
    </row>
    <row r="32" spans="1:51" ht="29" x14ac:dyDescent="0.35">
      <c r="A32" s="20" t="s">
        <v>915</v>
      </c>
      <c r="D32" s="27">
        <f>'Données environnement'!E$196</f>
        <v>57</v>
      </c>
      <c r="E32" s="27">
        <f>'Données environnement'!E$206*365</f>
        <v>949</v>
      </c>
      <c r="F32" s="94">
        <f>'Données environnement'!E$226</f>
        <v>36.135000000000005</v>
      </c>
      <c r="G32" s="120">
        <f>'Données environnement'!E$208</f>
        <v>0.1474</v>
      </c>
      <c r="I32" s="121" t="s">
        <v>854</v>
      </c>
      <c r="J32" s="121">
        <f>'Calcul simpl bovin'!$F32*'Données environnement'!$J$36*'Données environnement'!E$230</f>
        <v>3.9712365000000012</v>
      </c>
      <c r="K32" s="94">
        <f>'Calcul simpl bovin'!E31*G$28*'Données environnement'!E$214</f>
        <v>2.3780041999999999</v>
      </c>
      <c r="L32" s="94">
        <f>'Données environnement'!$C$240</f>
        <v>6.2</v>
      </c>
      <c r="M32" s="94">
        <f>K32/'Données environnement'!J$28/'Données environnement'!E$96*'Données environnement'!E$97*'Données environnement'!J$29</f>
        <v>4.4247441333333342</v>
      </c>
      <c r="N32" s="120" t="s">
        <v>842</v>
      </c>
      <c r="O32" s="136">
        <f t="shared" si="7"/>
        <v>942.19725166666672</v>
      </c>
      <c r="P32" s="121">
        <f t="shared" si="8"/>
        <v>0.1474</v>
      </c>
      <c r="Q32" s="121">
        <f>F32-J32/'Données environnement'!J$36-L32/'Données environnement'!J$31</f>
        <v>28.481583057851246</v>
      </c>
      <c r="R32" s="121">
        <f>H32-L32/'Données environnement'!J$31</f>
        <v>-5.123966942148761</v>
      </c>
      <c r="S32" s="39">
        <f>Q32*'Données environnement'!$J$49*44/28*('Données environnement'!$J$47)</f>
        <v>1.1189193344155846E-2</v>
      </c>
      <c r="T32" s="137">
        <f>('Données environnement'!$J$47*X32*'Données environnement'!$J$28 + 'Données environnement'!$AF$254*Z32*'Données environnement'!J$58)*'Données environnement'!J$83</f>
        <v>4.6657619837031863</v>
      </c>
      <c r="U32" s="39">
        <f>'Données environnement'!J$47*Z32*'Données environnement'!J$50*'Données environnement'!J$52</f>
        <v>8.4485257228197256E-4</v>
      </c>
      <c r="V32" s="39">
        <f>T32/'Données environnement'!J$28/'Données environnement'!E$96*'Données environnement'!E$97*'Données environnement'!J$29</f>
        <v>8.6815670741541897</v>
      </c>
      <c r="W32" s="39">
        <f>'Données environnement'!D$201/1000*'Données environnement'!J$45*'Données environnement'!AJ$254</f>
        <v>2.8685714999999998</v>
      </c>
      <c r="X32" s="39">
        <f>O32*P32*'Données Production '!B$30</f>
        <v>138.87987489566669</v>
      </c>
      <c r="Y32" s="39">
        <f>X32/'Données environnement'!E$96*'Données environnement'!E$97</f>
        <v>92.586583263777811</v>
      </c>
      <c r="Z32" s="39">
        <f t="shared" si="9"/>
        <v>231.4664581594445</v>
      </c>
      <c r="AA32" s="166" t="s">
        <v>4</v>
      </c>
      <c r="AB32" s="107">
        <v>0</v>
      </c>
      <c r="AC32" s="107">
        <f>Z32*(1-'Données environnement'!J$58-'Données environnement'!J$47)*'Données environnement'!$AQ$253*'Données environnement'!$J$28</f>
        <v>0.10799699045926742</v>
      </c>
      <c r="AD32" s="32">
        <v>0</v>
      </c>
      <c r="AE32" s="39">
        <f>AC32/'Données environnement'!J$28/'Données environnement'!E$96*'Données environnement'!E$97*'Données environnement'!J$29</f>
        <v>0.20094962403863689</v>
      </c>
      <c r="AG32">
        <f>O32-(X32/'Données environnement'!J$33*'Données environnement'!J$28+Y32/'Données environnement'!J$32*'Données environnement'!J$29) - X32/'Données environnement'!J$34*'Données environnement'!J$28 - Y32/'Données environnement'!J$35*'Données environnement'!J$29</f>
        <v>676.01082478330545</v>
      </c>
      <c r="AI32">
        <f>P32</f>
        <v>0.1474</v>
      </c>
      <c r="AJ32">
        <f>Q$31-(S32/'Données environnement'!J$36 + 'Calcul simpl bovin'!U32/'Données environnement'!J$31)</f>
        <v>28.473757957843397</v>
      </c>
      <c r="AK32" s="174">
        <f>AJ32*'Données environnement'!$J$75</f>
        <v>17.084254774706036</v>
      </c>
      <c r="AM32" s="174">
        <f>AG32*AI32*'Données environnement'!$J$74*'Données environnement'!$J$28</f>
        <v>1.3886387223061536</v>
      </c>
      <c r="AN32" s="32">
        <f>AK32*'Données environnement'!AZ$251*'Données environnement'!$J$31</f>
        <v>2.2739143105133732</v>
      </c>
      <c r="AO32" s="215">
        <f>AJ32*'Données environnement'!BC$251*'Données environnement'!J$31</f>
        <v>6.8906494257981024</v>
      </c>
      <c r="AP32" s="32">
        <f>AK32*0.55*0.75*'Données environnement'!J$31</f>
        <v>8.5271786644251506</v>
      </c>
      <c r="AQ32" s="215">
        <f>AJ32*'Données environnement'!BC$253*'Données environnement'!J$31</f>
        <v>1.7226623564495256</v>
      </c>
      <c r="AR32" s="12"/>
      <c r="AS32" s="41">
        <f>(K32+T32+AC32+AM32)*'Données environnement'!$J$12</f>
        <v>232.29893158394611</v>
      </c>
      <c r="AT32" s="41">
        <f>(J32+S32+AB32+AL32)*'Données environnement'!$J$14</f>
        <v>1087.2022142829549</v>
      </c>
      <c r="AU32" s="204">
        <f>((L32+0.5*AN32+AP32)*14/17*'Données environnement'!$J$15*44/28)*'Données environnement'!$J$14</f>
        <v>56.047058666475948</v>
      </c>
      <c r="AV32" s="41">
        <f>AS32+AT32+AU32+AY32</f>
        <v>1400.789049533377</v>
      </c>
      <c r="AX32" s="147"/>
      <c r="AY32">
        <f>'Données environnement'!$J$22*'Données environnement'!$J$24*0.75*0.037*365</f>
        <v>25.240844999999997</v>
      </c>
    </row>
    <row r="33" spans="1:51" ht="35.25" customHeight="1" x14ac:dyDescent="0.35">
      <c r="A33" s="20" t="s">
        <v>916</v>
      </c>
      <c r="B33" s="87" t="s">
        <v>649</v>
      </c>
      <c r="C33" s="120" t="s">
        <v>851</v>
      </c>
      <c r="D33" s="27">
        <f>'Données environnement'!G$196</f>
        <v>57</v>
      </c>
      <c r="E33" s="27">
        <f>'Données environnement'!G$206*365</f>
        <v>949</v>
      </c>
      <c r="F33" s="94">
        <f>'Données environnement'!G$226</f>
        <v>42.157499999999999</v>
      </c>
      <c r="G33" s="120">
        <f>'Données environnement'!G$208</f>
        <v>0.1206</v>
      </c>
      <c r="H33" s="120"/>
      <c r="I33" s="121" t="s">
        <v>852</v>
      </c>
      <c r="J33" s="121">
        <f>'Calcul simpl bovin'!$F33*'Données environnement'!$J$36*'Données environnement'!G$230</f>
        <v>4.6331092500000004</v>
      </c>
      <c r="K33" s="94">
        <f>'Calcul simpl bovin'!E33*G33*'Données environnement'!G212</f>
        <v>23.233228199999999</v>
      </c>
      <c r="L33" s="94">
        <f>'Données environnement'!$C$240</f>
        <v>6.2</v>
      </c>
      <c r="M33" s="94">
        <f>K33/'Données environnement'!J$28/'Données environnement'!E$96*'Données environnement'!E$97*'Données environnement'!J$29</f>
        <v>43.229986800000006</v>
      </c>
      <c r="N33" s="121" t="s">
        <v>855</v>
      </c>
      <c r="O33" s="136">
        <f t="shared" si="7"/>
        <v>882.53678500000001</v>
      </c>
      <c r="P33" s="121">
        <f t="shared" si="8"/>
        <v>0.1206</v>
      </c>
      <c r="Q33" s="121">
        <f>F33-J33/'Données environnement'!J$36-L33/'Données environnement'!J$31</f>
        <v>34.082508057851236</v>
      </c>
      <c r="R33" s="121">
        <f>H33-L33/'Données environnement'!J$31</f>
        <v>-5.123966942148761</v>
      </c>
      <c r="T33" s="138"/>
      <c r="U33" s="114"/>
      <c r="V33" s="114"/>
      <c r="W33" s="114"/>
      <c r="X33" s="114"/>
      <c r="Y33" s="114"/>
      <c r="Z33" s="114"/>
      <c r="AA33" s="166" t="s">
        <v>728</v>
      </c>
      <c r="AB33" s="168"/>
      <c r="AC33" s="168"/>
      <c r="AD33" s="113"/>
      <c r="AE33" s="113"/>
      <c r="AF33" s="113"/>
      <c r="AG33" s="12"/>
      <c r="AH33" s="12"/>
      <c r="AI33" s="12"/>
      <c r="AJ33" s="12"/>
      <c r="AK33" s="175"/>
      <c r="AL33" s="12"/>
      <c r="AM33" s="175"/>
      <c r="AN33" s="113"/>
      <c r="AO33" s="215">
        <f>AJ33*'Données environnement'!BC$251*'Données environnement'!J$31</f>
        <v>0</v>
      </c>
      <c r="AP33" s="32">
        <f>Q33*'Données environnement'!J75*0.68*0.75*'Données environnement'!J$31</f>
        <v>12.6193894335</v>
      </c>
      <c r="AQ33" s="215">
        <f>AJ33*'Données environnement'!BC$253*'Données environnement'!J$31</f>
        <v>0</v>
      </c>
      <c r="AR33" s="12"/>
      <c r="AS33" s="41">
        <f>(K33+T33+AC33+AM33)*'Données environnement'!$J$12</f>
        <v>631.94380703999991</v>
      </c>
      <c r="AT33" s="41">
        <f>(J33+S33+AB33+AL33)*'Données environnement'!$J$14</f>
        <v>1264.8388252500001</v>
      </c>
      <c r="AU33" s="204">
        <f>((L33+0.5*AN33+AP33)*14/17*'Données environnement'!$J$15*44/28)*'Données environnement'!$J$14</f>
        <v>66.487795845647653</v>
      </c>
      <c r="AV33" s="41">
        <f t="shared" si="3"/>
        <v>1963.2704281356478</v>
      </c>
      <c r="AX33" s="147"/>
    </row>
    <row r="34" spans="1:51" ht="29" x14ac:dyDescent="0.35">
      <c r="A34" s="20" t="s">
        <v>917</v>
      </c>
      <c r="D34" s="27">
        <f>'Données environnement'!G$196</f>
        <v>57</v>
      </c>
      <c r="E34" s="27">
        <f>'Données environnement'!G$206*365</f>
        <v>949</v>
      </c>
      <c r="F34" s="94">
        <f>'Données environnement'!G$226</f>
        <v>42.157499999999999</v>
      </c>
      <c r="G34" s="120">
        <f>'Données environnement'!G$208</f>
        <v>0.1206</v>
      </c>
      <c r="I34" s="121" t="s">
        <v>854</v>
      </c>
      <c r="J34" s="121">
        <f>'Calcul simpl bovin'!$F34*'Données environnement'!$J$36*'Données environnement'!G$230</f>
        <v>4.6331092500000004</v>
      </c>
      <c r="K34" s="94">
        <f>'Calcul simpl bovin'!E$33*G$33*'Données environnement'!G$214</f>
        <v>1.9456398000000001</v>
      </c>
      <c r="L34" s="94">
        <f>'Données environnement'!$C$240</f>
        <v>6.2</v>
      </c>
      <c r="M34" s="94">
        <f>K34/'Données environnement'!J$28/'Données environnement'!E$96*'Données environnement'!E$97*'Données environnement'!J$29</f>
        <v>3.6202452000000003</v>
      </c>
      <c r="N34" s="120" t="s">
        <v>842</v>
      </c>
      <c r="O34" s="136">
        <f t="shared" si="7"/>
        <v>943.43411500000002</v>
      </c>
      <c r="P34" s="121">
        <f t="shared" si="8"/>
        <v>0.1206</v>
      </c>
      <c r="Q34" s="121">
        <f>F34-J34/'Données environnement'!J$36-L34/'Données environnement'!J$31</f>
        <v>34.082508057851236</v>
      </c>
      <c r="R34" s="121">
        <f>H34-L34/'Données environnement'!J$31</f>
        <v>-5.123966942148761</v>
      </c>
      <c r="S34" s="39">
        <f>Q34*'Données environnement'!$J$49*44/28*('Données environnement'!$J$47)</f>
        <v>1.3389556737012984E-2</v>
      </c>
      <c r="T34" s="137">
        <f>('Données environnement'!$J$47*X34*'Données environnement'!$J$28 + 'Données environnement'!$AF$254*Z34*'Données environnement'!J$58)*'Données environnement'!J$83</f>
        <v>3.8224529447699012</v>
      </c>
      <c r="U34" s="39">
        <f>'Données environnement'!J$47*Z34*'Données environnement'!J$50*'Données environnement'!J$52</f>
        <v>6.9215043846975008E-4</v>
      </c>
      <c r="V34" s="39">
        <f>T34/'Données environnement'!J$28/'Données environnement'!E$96*'Données environnement'!E$97*'Données environnement'!J$29</f>
        <v>7.1124248823081748</v>
      </c>
      <c r="W34" s="39">
        <f>'Données environnement'!D$201/1000*'Données environnement'!J$45*'Données environnement'!AJ$254</f>
        <v>2.8685714999999998</v>
      </c>
      <c r="X34" s="39">
        <f>O34*P34*'Données Production '!B$30</f>
        <v>113.778154269</v>
      </c>
      <c r="Y34" s="39">
        <f>X34/'Données environnement'!E$96*'Données environnement'!E$97</f>
        <v>75.852102846000008</v>
      </c>
      <c r="Z34" s="39">
        <f t="shared" si="9"/>
        <v>189.63025711500001</v>
      </c>
      <c r="AA34" s="166" t="s">
        <v>4</v>
      </c>
      <c r="AB34" s="107">
        <v>0</v>
      </c>
      <c r="AC34" s="107">
        <f>Z34*(1-'Données environnement'!J$58-'Données environnement'!J$47)*'Données environnement'!$AQ$253*'Données environnement'!$J$28</f>
        <v>8.8477169570417361E-2</v>
      </c>
      <c r="AD34" s="32">
        <v>0</v>
      </c>
      <c r="AE34" s="39">
        <f>AC34/'Données environnement'!J$28/'Données environnement'!E$96*'Données environnement'!E$97*'Données environnement'!J$29</f>
        <v>0.16462916129022934</v>
      </c>
      <c r="AG34">
        <f>O34-(X34/'Données environnement'!J$33*'Données environnement'!J$28+Y34/'Données environnement'!J$32*'Données environnement'!J$29) - X34/'Données environnement'!J$34*'Données environnement'!J$28 - Y34/'Données environnement'!J$35*'Données environnement'!J$29</f>
        <v>725.35931931775008</v>
      </c>
      <c r="AI34">
        <f>P34</f>
        <v>0.1206</v>
      </c>
      <c r="AJ34">
        <f>Q$33-(S34/'Données environnement'!J$36 + 'Calcul simpl bovin'!U34/'Données environnement'!J$31)</f>
        <v>34.073407652608203</v>
      </c>
      <c r="AK34" s="174">
        <f>AJ34*'Données environnement'!$J$75</f>
        <v>20.444044591564921</v>
      </c>
      <c r="AM34" s="174">
        <f>AG34*AI34*'Données environnement'!$J$74*'Données environnement'!$J$28</f>
        <v>1.2190980613658671</v>
      </c>
      <c r="AN34" s="32">
        <f>AK34*'Données environnement'!AZ$251*'Données environnement'!$J$31</f>
        <v>2.7211023351372909</v>
      </c>
      <c r="AO34" s="215">
        <f>AJ34*'Données environnement'!BC$251*'Données environnement'!J$31</f>
        <v>8.2457646519311858</v>
      </c>
      <c r="AP34" s="32">
        <f>AK34*0.55*0.75*'Données environnement'!J$31</f>
        <v>10.204133756764842</v>
      </c>
      <c r="AQ34" s="215">
        <f>AJ34*'Données environnement'!BC$253*'Données environnement'!J$31</f>
        <v>2.0614411629827964</v>
      </c>
      <c r="AR34" s="12"/>
      <c r="AS34" s="41">
        <f>(K34+T34+AC34+AM34)*'Données environnement'!$J$12</f>
        <v>192.45816893920824</v>
      </c>
      <c r="AT34" s="41">
        <f>(J34+S34+AB34+AL34)*'Données environnement'!$J$14</f>
        <v>1268.4941742392048</v>
      </c>
      <c r="AU34" s="204">
        <f>((L34+0.5*AN34+AP34)*14/17*'Données environnement'!$J$15*44/28)*'Données environnement'!$J$14</f>
        <v>62.761586856204069</v>
      </c>
      <c r="AV34" s="41">
        <f>AS34+AT34+AU34+AY34</f>
        <v>1547.272052034617</v>
      </c>
      <c r="AX34" s="147"/>
      <c r="AY34">
        <f>'Données environnement'!$J$22*'Données environnement'!$J$24*0.7*0.037*365</f>
        <v>23.558121999999997</v>
      </c>
    </row>
  </sheetData>
  <mergeCells count="12">
    <mergeCell ref="AL8:AN8"/>
    <mergeCell ref="AO8:AQ8"/>
    <mergeCell ref="C1:H1"/>
    <mergeCell ref="AD1:AF1"/>
    <mergeCell ref="AG1:AJ1"/>
    <mergeCell ref="E8:H8"/>
    <mergeCell ref="J8:M8"/>
    <mergeCell ref="O8:R8"/>
    <mergeCell ref="S8:W8"/>
    <mergeCell ref="X8:Z8"/>
    <mergeCell ref="AB8:AF8"/>
    <mergeCell ref="AG8:AK8"/>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DF46E5-05A6-4D1A-A29C-66ED76013F4F}">
  <dimension ref="A1:BA50"/>
  <sheetViews>
    <sheetView zoomScale="86" zoomScaleNormal="86" workbookViewId="0">
      <pane xSplit="3" ySplit="1" topLeftCell="AG2" activePane="bottomRight" state="frozen"/>
      <selection pane="topRight" activeCell="D1" sqref="D1"/>
      <selection pane="bottomLeft" activeCell="A2" sqref="A2"/>
      <selection pane="bottomRight" activeCell="AR19" sqref="AR19:AR20"/>
    </sheetView>
  </sheetViews>
  <sheetFormatPr baseColWidth="10" defaultColWidth="11.54296875" defaultRowHeight="14.5" x14ac:dyDescent="0.35"/>
  <cols>
    <col min="2" max="2" width="16.7265625" customWidth="1"/>
    <col min="3" max="3" width="22.54296875" customWidth="1"/>
    <col min="4" max="4" width="16.26953125" style="16" customWidth="1"/>
    <col min="5" max="5" width="23.54296875" style="16" customWidth="1"/>
    <col min="6" max="6" width="28.81640625" style="16" customWidth="1"/>
    <col min="7" max="7" width="13.7265625" style="16" customWidth="1"/>
    <col min="8" max="8" width="13.81640625" style="16" customWidth="1"/>
    <col min="9" max="9" width="17.1796875" style="16" customWidth="1"/>
    <col min="10" max="10" width="22.54296875" style="16" customWidth="1"/>
    <col min="11" max="11" width="21.7265625" style="16" customWidth="1"/>
    <col min="12" max="12" width="15.26953125" style="16" customWidth="1"/>
    <col min="13" max="13" width="17.81640625" style="16" customWidth="1"/>
    <col min="14" max="14" width="19.453125" style="16" customWidth="1"/>
    <col min="15" max="15" width="15.26953125" style="16" customWidth="1"/>
    <col min="16" max="16" width="18.54296875" customWidth="1"/>
    <col min="17" max="17" width="11.7265625" customWidth="1"/>
    <col min="18" max="18" width="10.54296875" customWidth="1"/>
    <col min="19" max="19" width="11" customWidth="1"/>
    <col min="20" max="20" width="9.81640625" style="16" customWidth="1"/>
    <col min="21" max="21" width="11.26953125" style="16" customWidth="1"/>
    <col min="22" max="22" width="11.81640625" style="16" customWidth="1"/>
    <col min="23" max="23" width="20.26953125" customWidth="1"/>
    <col min="24" max="25" width="14.453125" style="16" customWidth="1"/>
    <col min="26" max="26" width="7" style="16" customWidth="1"/>
    <col min="27" max="27" width="16.26953125" style="16" customWidth="1"/>
    <col min="28" max="29" width="9.26953125" style="16" customWidth="1"/>
    <col min="30" max="30" width="13.26953125" style="16" customWidth="1"/>
    <col min="31" max="31" width="9.26953125" style="16" customWidth="1"/>
    <col min="32" max="32" width="12.54296875" style="16" customWidth="1"/>
    <col min="33" max="33" width="9.26953125" style="16" customWidth="1"/>
    <col min="34" max="34" width="13.54296875" style="16" customWidth="1"/>
    <col min="35" max="42" width="12.81640625" style="16" customWidth="1"/>
  </cols>
  <sheetData>
    <row r="1" spans="1:53" ht="36" x14ac:dyDescent="0.8">
      <c r="A1" s="367" t="s">
        <v>684</v>
      </c>
      <c r="B1" s="367"/>
      <c r="C1" s="367"/>
      <c r="D1" s="367"/>
      <c r="E1" s="367"/>
      <c r="F1" s="367"/>
      <c r="G1" s="367"/>
      <c r="H1" s="367"/>
      <c r="I1" s="367"/>
      <c r="J1" s="367"/>
      <c r="K1" s="367"/>
      <c r="L1" s="367"/>
      <c r="M1" s="367"/>
      <c r="N1" s="367"/>
      <c r="O1" s="367"/>
      <c r="P1" s="367"/>
      <c r="Q1" s="367"/>
      <c r="R1" s="367"/>
      <c r="S1" s="367"/>
      <c r="T1" s="367"/>
      <c r="U1" s="367"/>
      <c r="V1" s="367"/>
      <c r="W1" s="367"/>
      <c r="X1" s="367"/>
      <c r="Y1" s="367"/>
      <c r="Z1" s="367"/>
      <c r="AA1" s="367"/>
      <c r="AB1" s="367"/>
      <c r="AC1" s="367"/>
      <c r="AD1" s="367"/>
      <c r="AE1" s="367"/>
      <c r="AF1" s="367"/>
      <c r="AG1" s="367"/>
      <c r="AH1" s="367"/>
      <c r="AI1" s="367"/>
      <c r="AJ1" s="367"/>
      <c r="AK1" s="367"/>
      <c r="AL1" s="367"/>
      <c r="AM1" s="367"/>
      <c r="AN1" s="367"/>
      <c r="AO1" s="367"/>
      <c r="AP1" s="367"/>
    </row>
    <row r="2" spans="1:53" ht="26" x14ac:dyDescent="0.6">
      <c r="C2" s="12"/>
      <c r="L2" s="15"/>
      <c r="M2" s="15"/>
      <c r="N2" s="15"/>
      <c r="O2" s="15"/>
      <c r="P2" s="12"/>
      <c r="Q2" s="12"/>
      <c r="R2" s="12"/>
      <c r="S2" s="12"/>
      <c r="T2" s="15"/>
      <c r="U2" s="15"/>
      <c r="V2" s="15"/>
      <c r="W2" s="12" t="s">
        <v>12</v>
      </c>
      <c r="X2" s="15"/>
      <c r="Y2" s="15"/>
      <c r="Z2" s="15"/>
      <c r="AA2" s="15"/>
      <c r="AB2" s="15"/>
      <c r="AC2" s="15"/>
      <c r="AD2" s="15"/>
      <c r="AE2" s="15"/>
      <c r="AF2" s="15"/>
      <c r="AG2" s="15"/>
      <c r="AH2" s="17"/>
      <c r="AI2" s="17"/>
      <c r="AJ2" s="17"/>
      <c r="AQ2" s="368"/>
      <c r="AR2" s="368"/>
      <c r="AS2" s="368"/>
      <c r="AT2" s="368"/>
      <c r="AU2" s="368"/>
      <c r="AV2" s="368"/>
      <c r="AW2" s="368"/>
      <c r="AX2" s="368"/>
      <c r="AY2" s="368"/>
      <c r="AZ2" s="368"/>
      <c r="BA2" s="368"/>
    </row>
    <row r="3" spans="1:53" x14ac:dyDescent="0.35">
      <c r="C3" s="12"/>
      <c r="D3" s="23"/>
      <c r="E3" s="23"/>
      <c r="F3" s="22"/>
      <c r="G3" s="23"/>
      <c r="H3" s="23"/>
      <c r="I3" s="23"/>
      <c r="J3" s="23"/>
      <c r="K3" s="23"/>
      <c r="L3" s="23"/>
      <c r="M3" s="23"/>
      <c r="N3" s="23"/>
      <c r="O3" s="23"/>
      <c r="P3" s="9"/>
      <c r="Q3" s="9"/>
      <c r="R3" s="9"/>
      <c r="S3" s="9"/>
      <c r="T3" s="23"/>
      <c r="U3" s="23"/>
      <c r="V3" s="23"/>
      <c r="W3" s="9"/>
      <c r="X3" s="23"/>
      <c r="Y3" s="23"/>
      <c r="Z3" s="23"/>
      <c r="AA3" s="22"/>
      <c r="AB3" s="22"/>
      <c r="AC3" s="23"/>
      <c r="AD3" s="23"/>
      <c r="AE3" s="23"/>
      <c r="AF3" s="23"/>
      <c r="AG3" s="23"/>
      <c r="AH3" s="23"/>
      <c r="AI3" s="23"/>
      <c r="AJ3" s="23"/>
    </row>
    <row r="4" spans="1:53" ht="21" customHeight="1" x14ac:dyDescent="0.45">
      <c r="D4" s="369" t="s">
        <v>519</v>
      </c>
      <c r="E4" s="369"/>
      <c r="F4" s="369"/>
      <c r="G4" s="369"/>
      <c r="H4" s="369"/>
      <c r="I4" s="369"/>
      <c r="J4" s="369"/>
      <c r="K4" s="369"/>
      <c r="L4" s="370" t="s">
        <v>685</v>
      </c>
      <c r="M4" s="370"/>
      <c r="N4" s="370"/>
      <c r="O4" s="370"/>
      <c r="P4" s="371" t="s">
        <v>3</v>
      </c>
      <c r="Q4" s="372"/>
      <c r="R4" s="372"/>
      <c r="S4" s="372"/>
      <c r="T4" s="372"/>
      <c r="U4" s="372"/>
      <c r="V4" s="372"/>
      <c r="W4" s="371" t="s">
        <v>686</v>
      </c>
      <c r="X4" s="372"/>
      <c r="Y4" s="372"/>
      <c r="Z4" s="372"/>
      <c r="AA4" s="373" t="s">
        <v>920</v>
      </c>
      <c r="AB4" s="374"/>
      <c r="AC4" s="374"/>
      <c r="AD4" s="374"/>
      <c r="AE4" s="374"/>
      <c r="AF4" s="374"/>
      <c r="AG4" s="374"/>
      <c r="AH4" s="375" t="s">
        <v>687</v>
      </c>
      <c r="AI4" s="376"/>
      <c r="AJ4" s="376"/>
      <c r="AK4" s="157"/>
      <c r="AL4" s="157"/>
      <c r="AM4" s="157"/>
      <c r="AN4" s="157"/>
      <c r="AO4" s="157"/>
      <c r="AP4" s="157"/>
      <c r="AQ4" s="351"/>
      <c r="AR4" s="351"/>
      <c r="AS4" s="351"/>
      <c r="AT4" s="351"/>
      <c r="AU4" s="351"/>
      <c r="AV4" s="351"/>
      <c r="AW4" s="351"/>
      <c r="AX4" s="351"/>
      <c r="AY4" s="351"/>
      <c r="AZ4" s="351"/>
      <c r="BA4" s="351"/>
    </row>
    <row r="5" spans="1:53" x14ac:dyDescent="0.35">
      <c r="D5" s="377" t="s">
        <v>691</v>
      </c>
      <c r="E5" s="377"/>
      <c r="F5" s="377"/>
      <c r="G5" s="377"/>
      <c r="H5" s="376" t="s">
        <v>692</v>
      </c>
      <c r="I5" s="376"/>
      <c r="J5" s="376"/>
      <c r="K5" s="376"/>
      <c r="L5" s="377" t="s">
        <v>693</v>
      </c>
      <c r="M5" s="377"/>
      <c r="N5" s="377"/>
      <c r="O5" s="377"/>
      <c r="T5" s="378" t="s">
        <v>694</v>
      </c>
      <c r="U5" s="378"/>
      <c r="V5" s="378"/>
      <c r="X5" s="376" t="s">
        <v>695</v>
      </c>
      <c r="Y5" s="376"/>
      <c r="Z5" s="376"/>
      <c r="AA5" s="378" t="s">
        <v>921</v>
      </c>
      <c r="AB5" s="378"/>
      <c r="AC5" s="378"/>
      <c r="AD5" s="378"/>
      <c r="AE5" s="376" t="s">
        <v>696</v>
      </c>
      <c r="AF5" s="376"/>
      <c r="AG5" s="376"/>
      <c r="AH5" s="157" t="s">
        <v>544</v>
      </c>
      <c r="AI5" s="157" t="s">
        <v>558</v>
      </c>
      <c r="AJ5" s="157" t="s">
        <v>5</v>
      </c>
      <c r="AK5" s="196"/>
      <c r="AL5" s="196" t="s">
        <v>697</v>
      </c>
      <c r="AM5" s="196"/>
      <c r="AN5" s="196"/>
      <c r="AO5" s="157"/>
      <c r="AP5" s="157"/>
      <c r="AQ5" s="351"/>
      <c r="AR5" s="351"/>
      <c r="AS5" s="351"/>
      <c r="AT5" s="351"/>
      <c r="AU5" s="351"/>
      <c r="AV5" s="351"/>
      <c r="AW5" s="351"/>
      <c r="AX5" s="351"/>
      <c r="AY5" s="351"/>
      <c r="AZ5" s="351"/>
      <c r="BA5" s="351"/>
    </row>
    <row r="6" spans="1:53" x14ac:dyDescent="0.35">
      <c r="D6" s="157"/>
      <c r="E6" s="157"/>
      <c r="F6" s="157"/>
      <c r="G6" s="157"/>
      <c r="H6" s="157"/>
      <c r="I6" s="157"/>
      <c r="J6" s="157"/>
      <c r="K6" s="157"/>
      <c r="L6" s="157"/>
      <c r="M6" s="157"/>
      <c r="N6" s="157"/>
      <c r="O6" s="157"/>
      <c r="R6" s="13" t="s">
        <v>698</v>
      </c>
      <c r="T6" s="376" t="s">
        <v>699</v>
      </c>
      <c r="U6" s="376"/>
      <c r="V6" s="376"/>
      <c r="X6" s="157"/>
      <c r="Y6" s="157"/>
      <c r="Z6" s="157"/>
      <c r="AA6" s="157"/>
      <c r="AB6" s="157"/>
      <c r="AC6" s="157"/>
      <c r="AD6" s="157"/>
      <c r="AE6" s="377" t="s">
        <v>700</v>
      </c>
      <c r="AF6" s="377"/>
      <c r="AG6" s="377"/>
      <c r="AH6" s="157"/>
      <c r="AI6" s="157"/>
      <c r="AJ6" s="157"/>
      <c r="AK6" s="198" t="s">
        <v>701</v>
      </c>
      <c r="AL6" s="198" t="s">
        <v>701</v>
      </c>
      <c r="AM6" s="198" t="s">
        <v>701</v>
      </c>
      <c r="AN6" s="198" t="s">
        <v>702</v>
      </c>
      <c r="AO6" s="157"/>
      <c r="AP6" s="214"/>
      <c r="AQ6" s="207"/>
      <c r="AR6" s="207"/>
      <c r="AS6" s="207"/>
      <c r="AT6" s="207"/>
      <c r="AU6" s="207"/>
    </row>
    <row r="7" spans="1:53" x14ac:dyDescent="0.35">
      <c r="D7" s="157" t="s">
        <v>703</v>
      </c>
      <c r="E7" s="157" t="s">
        <v>704</v>
      </c>
      <c r="F7" s="157" t="s">
        <v>705</v>
      </c>
      <c r="G7" s="157" t="s">
        <v>706</v>
      </c>
      <c r="H7" s="157" t="s">
        <v>707</v>
      </c>
      <c r="I7" s="157" t="s">
        <v>708</v>
      </c>
      <c r="J7" s="157" t="s">
        <v>709</v>
      </c>
      <c r="K7" s="16" t="s">
        <v>508</v>
      </c>
      <c r="L7" s="16" t="s">
        <v>710</v>
      </c>
      <c r="M7" s="16" t="s">
        <v>705</v>
      </c>
      <c r="N7" s="16" t="s">
        <v>711</v>
      </c>
      <c r="O7" s="16" t="s">
        <v>712</v>
      </c>
      <c r="Q7" s="157" t="s">
        <v>509</v>
      </c>
      <c r="R7" s="157" t="s">
        <v>713</v>
      </c>
      <c r="S7" s="157" t="s">
        <v>714</v>
      </c>
      <c r="T7" s="16" t="s">
        <v>715</v>
      </c>
      <c r="U7" s="16" t="s">
        <v>716</v>
      </c>
      <c r="V7" s="16" t="s">
        <v>717</v>
      </c>
      <c r="X7" s="16" t="s">
        <v>707</v>
      </c>
      <c r="Y7" s="16" t="s">
        <v>509</v>
      </c>
      <c r="Z7" s="16" t="s">
        <v>508</v>
      </c>
      <c r="AA7" s="16" t="s">
        <v>710</v>
      </c>
      <c r="AB7" s="16" t="s">
        <v>718</v>
      </c>
      <c r="AC7" s="16" t="s">
        <v>719</v>
      </c>
      <c r="AD7" s="16" t="s">
        <v>720</v>
      </c>
      <c r="AE7" s="16" t="s">
        <v>707</v>
      </c>
      <c r="AF7" s="16" t="s">
        <v>509</v>
      </c>
      <c r="AG7" s="16" t="s">
        <v>508</v>
      </c>
      <c r="AH7" s="216" t="s">
        <v>508</v>
      </c>
      <c r="AI7" s="157" t="s">
        <v>508</v>
      </c>
      <c r="AJ7" s="216" t="s">
        <v>508</v>
      </c>
      <c r="AK7" s="197" t="s">
        <v>509</v>
      </c>
      <c r="AL7" s="197" t="s">
        <v>721</v>
      </c>
      <c r="AM7" s="197" t="s">
        <v>722</v>
      </c>
      <c r="AN7" s="197" t="s">
        <v>713</v>
      </c>
      <c r="AO7" s="214"/>
      <c r="AP7" s="214"/>
      <c r="AQ7" s="207"/>
      <c r="AR7" s="207"/>
      <c r="AS7" s="207"/>
      <c r="AT7" s="207"/>
      <c r="AU7" s="207"/>
    </row>
    <row r="8" spans="1:53" ht="15" customHeight="1" x14ac:dyDescent="0.35">
      <c r="A8" s="20" t="s">
        <v>724</v>
      </c>
      <c r="B8" s="8" t="s">
        <v>725</v>
      </c>
      <c r="C8" s="118" t="s">
        <v>726</v>
      </c>
      <c r="D8" s="157">
        <v>122</v>
      </c>
      <c r="E8" s="157">
        <f>'Données environnement'!$H$293</f>
        <v>10.672000000000001</v>
      </c>
      <c r="F8" s="157">
        <v>450</v>
      </c>
      <c r="G8" s="157">
        <f>'Données environnement'!$I$293</f>
        <v>7.4703999999999997</v>
      </c>
      <c r="H8" s="157">
        <f>'Données environnement'!R$251*' Calcul simpl porc'!E8*'Données environnement'!J$36</f>
        <v>3.3510080000000005E-2</v>
      </c>
      <c r="I8" s="157">
        <f>'Données environnement'!$I$254*D8*F8/1000*'Données environnement'!$J$28 + 1.5</f>
        <v>4.9024274999999999</v>
      </c>
      <c r="J8" s="157">
        <f>'Données environnement'!E$97/'Données environnement'!E$96*I8/'Données environnement'!J$28*'Données environnement'!J$29</f>
        <v>9.1219297761194031</v>
      </c>
      <c r="K8" s="157">
        <f>'Données environnement'!K$254*G8*'Données environnement'!J$31</f>
        <v>2.4405796799999999</v>
      </c>
      <c r="L8" s="157">
        <f>G8-K8/'Données environnement'!$J$31</f>
        <v>5.4533919999999991</v>
      </c>
      <c r="M8" s="41">
        <v>333</v>
      </c>
      <c r="N8" s="157">
        <f>D8-H8-I8-J8-K8</f>
        <v>105.5015529638806</v>
      </c>
      <c r="O8" s="157">
        <f>E8-(' Calcul simpl porc'!H8/'Données environnement'!$J$36 + ' Calcul simpl porc'!K8/'Données environnement'!$J$31)</f>
        <v>8.6336480000000009</v>
      </c>
      <c r="P8" s="3" t="s">
        <v>727</v>
      </c>
      <c r="Q8" s="13"/>
      <c r="R8" s="13"/>
      <c r="S8" s="13"/>
      <c r="T8" s="190"/>
      <c r="U8" s="157"/>
      <c r="V8" s="157"/>
      <c r="W8" t="s">
        <v>728</v>
      </c>
      <c r="X8" s="31"/>
      <c r="Y8" s="31"/>
      <c r="Z8" s="31"/>
      <c r="AA8" s="30">
        <f>L8</f>
        <v>5.4533919999999991</v>
      </c>
      <c r="AB8" s="41">
        <v>333</v>
      </c>
      <c r="AC8" s="157">
        <f>N8</f>
        <v>105.5015529638806</v>
      </c>
      <c r="AD8" s="157">
        <f>O8</f>
        <v>8.6336480000000009</v>
      </c>
      <c r="AE8" s="157">
        <f>AD8*'Données environnement'!AV$251*'Données environnement'!J$36</f>
        <v>0</v>
      </c>
      <c r="AF8" s="157">
        <f>AB8*AC8/1000*'Données environnement'!$J$28*'Données environnement'!$J$39</f>
        <v>6.8261509297137053</v>
      </c>
      <c r="AG8" s="157">
        <f>AA8*'Données environnement'!AZ$251*'Données environnement'!$J$31</f>
        <v>0.7258464751999999</v>
      </c>
      <c r="AH8" s="216">
        <f>AD8*'Données environnement'!BC$251*'Données environnement'!J$31</f>
        <v>2.0893428160000003</v>
      </c>
      <c r="AI8" s="157">
        <f>(AA8-(AG8/'Données environnement'!$J$31))*0.4*0.525*'Données environnement'!J$31</f>
        <v>1.233279147408</v>
      </c>
      <c r="AJ8" s="216">
        <f>AD8*'Données environnement'!BC$253*'Données environnement'!J$31</f>
        <v>0.52233570400000007</v>
      </c>
      <c r="AK8" s="41">
        <f>(I8+AF8+U8+Y8)*'Données environnement'!$J$12</f>
        <v>319.0173332882128</v>
      </c>
      <c r="AL8" s="174">
        <f>(H8+T8+X8+AE8)*'Données environnement'!$J$14</f>
        <v>9.1482518400000021</v>
      </c>
      <c r="AM8" s="174">
        <f>((K8+V8+Z8+AG8+AI8)*14/17*'Données environnement'!$J$15*44/28)*'Données environnement'!$J$14</f>
        <v>15.543900027919793</v>
      </c>
      <c r="AN8" s="41">
        <f>AK8+AL8+AM8</f>
        <v>343.70948515613259</v>
      </c>
      <c r="AO8" s="214"/>
      <c r="AP8" s="214"/>
      <c r="AQ8" s="214"/>
      <c r="AR8" s="214"/>
      <c r="AS8" s="214"/>
      <c r="AT8" s="214"/>
      <c r="AU8" s="214"/>
      <c r="AV8" s="157"/>
      <c r="AW8" s="157"/>
      <c r="AX8" s="157"/>
      <c r="AY8" s="157"/>
      <c r="AZ8" s="157"/>
      <c r="BA8" s="157"/>
    </row>
    <row r="9" spans="1:53" x14ac:dyDescent="0.35">
      <c r="A9" s="20" t="s">
        <v>729</v>
      </c>
      <c r="C9" s="118" t="s">
        <v>726</v>
      </c>
      <c r="D9" s="218">
        <v>122</v>
      </c>
      <c r="E9" s="157">
        <f>'Données environnement'!$H$293</f>
        <v>10.672000000000001</v>
      </c>
      <c r="F9" s="204">
        <v>450</v>
      </c>
      <c r="G9" s="157">
        <f>'Données environnement'!$I$293</f>
        <v>7.4703999999999997</v>
      </c>
      <c r="H9" s="204">
        <f>'Données environnement'!R$251*' Calcul simpl porc'!E9*'Données environnement'!J$36</f>
        <v>3.3510080000000005E-2</v>
      </c>
      <c r="I9" s="157">
        <f>'Données environnement'!$I$254*D9*F9/1000*'Données environnement'!$J$28 + 1.5</f>
        <v>4.9024274999999999</v>
      </c>
      <c r="J9" s="157">
        <f>'Données environnement'!E$97/'Données environnement'!E$96*I9/'Données environnement'!J$28*'Données environnement'!J$29</f>
        <v>9.1219297761194031</v>
      </c>
      <c r="K9" s="157">
        <f>'Données environnement'!K$254*G9*'Données environnement'!J$31</f>
        <v>2.4405796799999999</v>
      </c>
      <c r="L9" s="157">
        <f>G9-K9/'Données environnement'!$J$31</f>
        <v>5.4533919999999991</v>
      </c>
      <c r="M9" s="41">
        <v>333</v>
      </c>
      <c r="N9" s="157">
        <f t="shared" ref="N9:N22" si="0">D9-H9-I9-J9-K9</f>
        <v>105.5015529638806</v>
      </c>
      <c r="O9" s="157">
        <f>E9-(' Calcul simpl porc'!H9/'Données environnement'!$J$36 + ' Calcul simpl porc'!K9/'Données environnement'!$J$31)</f>
        <v>8.6336480000000009</v>
      </c>
      <c r="P9" s="7" t="s">
        <v>730</v>
      </c>
      <c r="Q9" s="174">
        <f>$M$9/1000*$N$9*'Données Production '!$B$29</f>
        <v>10.18828496972195</v>
      </c>
      <c r="R9" s="174">
        <f>Q9/'Données environnement'!$E$96*'Données environnement'!$E$97</f>
        <v>6.7921899798146343</v>
      </c>
      <c r="S9" s="174">
        <f>Q9+R9</f>
        <v>16.980474949536585</v>
      </c>
      <c r="T9" s="161">
        <f>O9*'Données environnement'!$J$49*44/28*('Données environnement'!$J$47+(1-'Données environnement'!$J$48))</f>
        <v>1.0175370857142856E-2</v>
      </c>
      <c r="U9" s="161">
        <f>Q9*'Données environnement'!$J$28*('Données environnement'!$J$47+(1-'Données environnement'!$J$48))+S9*'Données environnement'!$AF$254*'Données environnement'!$J$58</f>
        <v>1.0248973187191592</v>
      </c>
      <c r="V9" s="157"/>
      <c r="W9" t="s">
        <v>7</v>
      </c>
      <c r="X9" s="157"/>
      <c r="Y9" s="157">
        <f>S9*(1-'Données environnement'!$J$58-'Données environnement'!$J$47-(1-'Données environnement'!$J$48))*'Données environnement'!$AQ$252</f>
        <v>5.8202275937031603E-2</v>
      </c>
      <c r="Z9" s="157"/>
      <c r="AA9" s="30">
        <f>AD9*'Données environnement'!$J$77</f>
        <v>6.0435536000000001</v>
      </c>
      <c r="AB9" s="41">
        <f>M9</f>
        <v>333</v>
      </c>
      <c r="AC9" s="157">
        <f>N9-(Q9/'Données environnement'!$J$33*'Données environnement'!$J$28+' Calcul simpl porc'!R9/'Données environnement'!$J$32*'Données environnement'!$J$29)-' Calcul simpl porc'!Q9/'Données environnement'!$J$34*'Données environnement'!$J$28-' Calcul simpl porc'!R9/'Données environnement'!$J$35*'Données environnement'!$J$29</f>
        <v>85.974006771913523</v>
      </c>
      <c r="AD9" s="157">
        <f t="shared" ref="AD9:AD22" si="1">O9</f>
        <v>8.6336480000000009</v>
      </c>
      <c r="AE9" s="157">
        <f>AD9*'Données environnement'!AV$251*'Données environnement'!J$36</f>
        <v>0</v>
      </c>
      <c r="AF9" s="157">
        <f>AB9*AC9/1000*'Données environnement'!$J$28*'Données environnement'!$J$74</f>
        <v>0.39897854153833784</v>
      </c>
      <c r="AG9" s="157">
        <f>AA9*'Données environnement'!AZ$251*'Données environnement'!$J$31</f>
        <v>0.80439698415999994</v>
      </c>
      <c r="AH9" s="216">
        <f>AD9*'Données environnement'!BC$251*'Données environnement'!J$31</f>
        <v>2.0893428160000003</v>
      </c>
      <c r="AI9" s="209">
        <f>(AA9-(AG9/'Données environnement'!$J$31))*0.4*0.525*'Données environnement'!J$31</f>
        <v>1.3667436030863997</v>
      </c>
      <c r="AJ9" s="216">
        <f>AD9*'Données environnement'!BC$253*'Données environnement'!J$31</f>
        <v>0.52233570400000007</v>
      </c>
      <c r="AK9" s="41">
        <f>(I9+AF9+U9+Y9)*'Données environnement'!$J$12</f>
        <v>173.65855330449119</v>
      </c>
      <c r="AL9" s="174">
        <f>(H9+T9+X9+AE9)*'Données environnement'!$J$14</f>
        <v>11.926128084</v>
      </c>
      <c r="AM9" s="174">
        <f>((K9+V9+Z9+AG9+AI9)*14/17*'Données environnement'!$J$15*44/28)*'Données environnement'!$J$14</f>
        <v>16.29293642651875</v>
      </c>
      <c r="AN9" s="41">
        <f>AK9+AL9+AM9</f>
        <v>201.87761781500996</v>
      </c>
      <c r="AO9" s="214"/>
      <c r="AP9" s="214"/>
      <c r="AQ9" s="214"/>
      <c r="AR9" s="214"/>
      <c r="AS9" s="214"/>
      <c r="AT9" s="214"/>
      <c r="AU9" s="214"/>
      <c r="AV9" s="157"/>
      <c r="AW9" s="157"/>
      <c r="AX9" s="157"/>
      <c r="AY9" s="157"/>
      <c r="AZ9" s="157"/>
      <c r="BA9" s="157"/>
    </row>
    <row r="10" spans="1:53" x14ac:dyDescent="0.35">
      <c r="A10" s="46" t="s">
        <v>731</v>
      </c>
      <c r="C10" s="118" t="s">
        <v>726</v>
      </c>
      <c r="D10" s="218">
        <v>122</v>
      </c>
      <c r="E10" s="204">
        <f>'Données environnement'!$H$293</f>
        <v>10.672000000000001</v>
      </c>
      <c r="F10" s="204">
        <v>450</v>
      </c>
      <c r="G10" s="204">
        <f>'Données environnement'!$I$293</f>
        <v>7.4703999999999997</v>
      </c>
      <c r="H10" s="204">
        <f>'Données environnement'!R$251*' Calcul simpl porc'!E10*'Données environnement'!J$36</f>
        <v>3.3510080000000005E-2</v>
      </c>
      <c r="I10" s="204">
        <f>'Données environnement'!$I$254*D10*F10/1000*'Données environnement'!$J$28 + 1.5</f>
        <v>4.9024274999999999</v>
      </c>
      <c r="J10" s="157"/>
      <c r="K10" s="204">
        <f>'Données environnement'!K$254*G10*'Données environnement'!J$31</f>
        <v>2.4405796799999999</v>
      </c>
      <c r="L10" s="157"/>
      <c r="M10" s="41"/>
      <c r="N10" s="157">
        <f>N9</f>
        <v>105.5015529638806</v>
      </c>
      <c r="O10" s="157">
        <f>O9</f>
        <v>8.6336480000000009</v>
      </c>
      <c r="P10" s="118" t="s">
        <v>732</v>
      </c>
      <c r="Q10" s="174">
        <f>$M$9/1000*$N$9*'Données Production '!$B$30</f>
        <v>35.132017136972244</v>
      </c>
      <c r="R10" s="174">
        <f>Q10/'Données environnement'!$E$96*'Données environnement'!$E$97</f>
        <v>23.421344757981501</v>
      </c>
      <c r="S10" s="174">
        <f>Q10+R10</f>
        <v>58.553361894953746</v>
      </c>
      <c r="T10" s="161">
        <f>O9*'Données environnement'!$J$49*44/28*('Données environnement'!$J$47)</f>
        <v>3.3917902857142864E-3</v>
      </c>
      <c r="U10" s="161">
        <f>Q10*'Données environnement'!$J$28*('Données environnement'!$J$47)+S10*'Données environnement'!$AF$254*'Données environnement'!$J$58</f>
        <v>1.1802835370613407</v>
      </c>
      <c r="V10" s="157"/>
      <c r="W10" t="s">
        <v>733</v>
      </c>
      <c r="X10" s="157"/>
      <c r="Y10" s="157">
        <f>S10*(1-'Données environnement'!$J$58-'Données environnement'!$J$47)*'Données environnement'!$AQ$253*'Données environnement'!$J$28</f>
        <v>2.7319668327803165E-2</v>
      </c>
      <c r="Z10" s="157"/>
      <c r="AA10" s="30">
        <f>AD10*'Données environnement'!$J$77</f>
        <v>6.0435536000000001</v>
      </c>
      <c r="AB10" s="41">
        <f>M9</f>
        <v>333</v>
      </c>
      <c r="AC10" s="204">
        <f>N10-(Q10/'Données environnement'!$J$33*'Données environnement'!$J$28+' Calcul simpl porc'!R10/'Données environnement'!$J$32*'Données environnement'!$J$29)-' Calcul simpl porc'!Q10/'Données environnement'!$J$34*'Données environnement'!$J$28-' Calcul simpl porc'!R10/'Données environnement'!$J$35*'Données environnement'!$J$29</f>
        <v>38.165186784683783</v>
      </c>
      <c r="AD10" s="204">
        <f t="shared" si="1"/>
        <v>8.6336480000000009</v>
      </c>
      <c r="AE10" s="157"/>
      <c r="AF10" s="204">
        <f>AB10*AC10/1000*'Données environnement'!$J$28*'Données environnement'!$J$74</f>
        <v>0.17711272432944061</v>
      </c>
      <c r="AG10" s="204">
        <f>AA10*'Données environnement'!AZ$251*'Données environnement'!$J$31</f>
        <v>0.80439698415999994</v>
      </c>
      <c r="AH10" s="216"/>
      <c r="AI10" s="209">
        <f>(AA10-(AG10/'Données environnement'!$J$31))*0.4*0.525*'Données environnement'!J$31</f>
        <v>1.3667436030863997</v>
      </c>
      <c r="AJ10" s="216"/>
      <c r="AK10" s="208">
        <f>(I10+AF10+U10+Y10)*'Données environnement'!$J$12</f>
        <v>171.01030128834549</v>
      </c>
      <c r="AL10" s="223">
        <f>(H10+T10+X10+AE10)*'Données environnement'!$J$14</f>
        <v>10.074210588000001</v>
      </c>
      <c r="AM10" s="223">
        <f>((K10+V10+Z10+AG10+AI10)*14/17*'Données environnement'!$J$15*44/28)*'Données environnement'!$J$14</f>
        <v>16.29293642651875</v>
      </c>
      <c r="AN10" s="208">
        <f>AK10+AL10+AM10</f>
        <v>197.37744830286425</v>
      </c>
      <c r="AO10" s="214"/>
      <c r="AP10" s="214"/>
      <c r="AQ10" s="214"/>
      <c r="AR10" s="214"/>
      <c r="AS10" s="214"/>
      <c r="AT10" s="214"/>
      <c r="AU10" s="214"/>
      <c r="AV10" s="157"/>
      <c r="AW10" s="157"/>
      <c r="AX10" s="157"/>
      <c r="AY10" s="157"/>
      <c r="AZ10" s="157"/>
      <c r="BA10" s="157"/>
    </row>
    <row r="11" spans="1:53" x14ac:dyDescent="0.35">
      <c r="A11" s="20" t="s">
        <v>734</v>
      </c>
      <c r="C11" s="10" t="s">
        <v>10</v>
      </c>
      <c r="D11" s="218">
        <v>122</v>
      </c>
      <c r="E11" s="157">
        <f>'Données environnement'!$H$293</f>
        <v>10.672000000000001</v>
      </c>
      <c r="F11" s="204">
        <v>450</v>
      </c>
      <c r="G11" s="157">
        <f>'Données environnement'!$I$293</f>
        <v>7.4703999999999997</v>
      </c>
      <c r="H11" s="157">
        <v>0</v>
      </c>
      <c r="I11" s="157">
        <f>0.0037*D11*F11/1000*'Données environnement'!$J$28 + 1.5</f>
        <v>1.6360971</v>
      </c>
      <c r="J11" s="157">
        <f>'Données environnement'!E$97/'Données environnement'!E$96*I11/'Données environnement'!J$28*'Données environnement'!J$29</f>
        <v>3.0442801761194036</v>
      </c>
      <c r="K11" s="157">
        <f>'Données environnement'!K$254*G11*'Données environnement'!J$31*0.55</f>
        <v>1.3423188240000001</v>
      </c>
      <c r="L11" s="157">
        <f>G11-K11/'Données environnement'!$J$31</f>
        <v>6.3610455999999997</v>
      </c>
      <c r="M11" s="41">
        <v>354</v>
      </c>
      <c r="N11" s="157">
        <f t="shared" si="0"/>
        <v>115.9773038998806</v>
      </c>
      <c r="O11" s="157">
        <f>E11-(' Calcul simpl porc'!H11/'Données environnement'!$J$36 + ' Calcul simpl porc'!K11/'Données environnement'!$J$31)</f>
        <v>9.5626455999999997</v>
      </c>
      <c r="P11" s="118" t="s">
        <v>732</v>
      </c>
      <c r="Q11" s="174">
        <f>M11/1000*N11*'Données Production '!$B$30</f>
        <v>41.055965580557732</v>
      </c>
      <c r="R11" s="174">
        <f>Q11/'Données environnement'!$E$96*'Données environnement'!$E$97</f>
        <v>27.370643720371824</v>
      </c>
      <c r="S11" s="174">
        <f t="shared" ref="S11:S22" si="2">Q11+R11</f>
        <v>68.426609300929556</v>
      </c>
      <c r="T11" s="161">
        <f>O11*'Données environnement'!$J$49*44/28*('Données environnement'!$J$47)</f>
        <v>3.7567536285714287E-3</v>
      </c>
      <c r="U11" s="161">
        <f>Q11*'Données environnement'!$J$28*('Données environnement'!$J$47)+S11*'Données environnement'!$AF$254*'Données environnement'!$J$58</f>
        <v>1.3793025343225576</v>
      </c>
      <c r="V11" s="157"/>
      <c r="W11" t="s">
        <v>733</v>
      </c>
      <c r="X11" s="157"/>
      <c r="Y11" s="157">
        <f>S11*(1-'Données environnement'!$J$58-'Données environnement'!$J$47)*'Données environnement'!$AQ$253*'Données environnement'!$J$28</f>
        <v>3.1926301247250412E-2</v>
      </c>
      <c r="Z11" s="157"/>
      <c r="AA11" s="30">
        <f>AD11*'Données environnement'!$J$77</f>
        <v>6.6938519199999993</v>
      </c>
      <c r="AB11" s="41">
        <f t="shared" ref="AB11:AB22" si="3">M11</f>
        <v>354</v>
      </c>
      <c r="AC11" s="157">
        <f>N11-(Q11/'Données environnement'!$J$33*'Données environnement'!$J$28+' Calcul simpl porc'!R11/'Données environnement'!$J$32*'Données environnement'!$J$29)-' Calcul simpl porc'!Q11/'Données environnement'!$J$34*'Données environnement'!$J$28-' Calcul simpl porc'!R11/'Données environnement'!$J$35*'Données environnement'!$J$29</f>
        <v>37.286703203811605</v>
      </c>
      <c r="AD11" s="157">
        <f t="shared" si="1"/>
        <v>9.5626455999999997</v>
      </c>
      <c r="AE11" s="157">
        <f>AD11*'Données environnement'!AV$251*'Données environnement'!J$36</f>
        <v>0</v>
      </c>
      <c r="AF11" s="157">
        <f>AB11*AC11/1000*'Données environnement'!$J$28*'Données environnement'!$J$74</f>
        <v>0.18394813353030479</v>
      </c>
      <c r="AG11" s="157">
        <f>AA11*'Données environnement'!AZ$251*'Données environnement'!$J$31</f>
        <v>0.89095169055199996</v>
      </c>
      <c r="AH11" s="216">
        <f>AD11*'Données environnement'!BC$251*'Données environnement'!J$31</f>
        <v>2.3141602352000001</v>
      </c>
      <c r="AI11" s="209">
        <f>(AA11-(AG11/'Données environnement'!$J$31))*0.4*0.525*'Données environnement'!J$31</f>
        <v>1.5138079178560797</v>
      </c>
      <c r="AJ11" s="216">
        <f>AD11*'Données environnement'!BC$253*'Données environnement'!J$31</f>
        <v>0.57854005880000003</v>
      </c>
      <c r="AK11" s="208">
        <f>(I11+AF11+U11+Y11)*'Données environnement'!$J$12</f>
        <v>87.890654679523081</v>
      </c>
      <c r="AL11" s="223">
        <f>(H11+T11+X11+AE11)*'Données environnement'!$J$14</f>
        <v>1.0255937406</v>
      </c>
      <c r="AM11" s="223">
        <f>((K11+V11+Z11+AG11+AI11)*14/17*'Données environnement'!$J$15*44/28)*'Données environnement'!$J$14</f>
        <v>13.23820768531937</v>
      </c>
      <c r="AN11" s="208">
        <f t="shared" ref="AN11:AN22" si="4">AK11+AL11+AM11</f>
        <v>102.15445610544245</v>
      </c>
      <c r="AO11" s="214"/>
      <c r="AP11" s="214"/>
      <c r="AQ11" s="214"/>
      <c r="AR11" s="214"/>
      <c r="AS11" s="214"/>
      <c r="AT11" s="214"/>
      <c r="AU11" s="214"/>
      <c r="AV11" s="157"/>
      <c r="AW11" s="157"/>
      <c r="AX11" s="157"/>
      <c r="AY11" s="157"/>
      <c r="AZ11" s="157"/>
      <c r="BA11" s="157"/>
    </row>
    <row r="12" spans="1:53" x14ac:dyDescent="0.35">
      <c r="A12" s="20" t="s">
        <v>735</v>
      </c>
      <c r="C12" s="10" t="s">
        <v>10</v>
      </c>
      <c r="D12" s="218">
        <v>122</v>
      </c>
      <c r="E12" s="157">
        <f>'Données environnement'!$H$293</f>
        <v>10.672000000000001</v>
      </c>
      <c r="F12" s="204">
        <v>450</v>
      </c>
      <c r="G12" s="157">
        <f>'Données environnement'!$I$293</f>
        <v>7.4703999999999997</v>
      </c>
      <c r="H12" s="157">
        <v>0</v>
      </c>
      <c r="I12" s="157">
        <f>0.0037*D12*F12/1000*'Données environnement'!$J$28 + 1.5</f>
        <v>1.6360971</v>
      </c>
      <c r="J12" s="157">
        <f>'Données environnement'!E$97/'Données environnement'!E$96*I12/'Données environnement'!J$28*'Données environnement'!J$29</f>
        <v>3.0442801761194036</v>
      </c>
      <c r="K12" s="157">
        <f>'Données environnement'!K$254*G12*'Données environnement'!J$31*0.55</f>
        <v>1.3423188240000001</v>
      </c>
      <c r="L12" s="157">
        <f>G12-K12/'Données environnement'!$J$31</f>
        <v>6.3610455999999997</v>
      </c>
      <c r="M12" s="41">
        <v>354</v>
      </c>
      <c r="N12" s="157">
        <f t="shared" si="0"/>
        <v>115.9773038998806</v>
      </c>
      <c r="O12" s="157">
        <f>E12-(' Calcul simpl porc'!H12/'Données environnement'!$J$36 + ' Calcul simpl porc'!K12/'Données environnement'!$J$31)</f>
        <v>9.5626455999999997</v>
      </c>
      <c r="P12" s="7" t="s">
        <v>730</v>
      </c>
      <c r="Q12" s="174">
        <f>M12/1000*N12*'Données Production '!$B$29</f>
        <v>11.906230018361741</v>
      </c>
      <c r="R12" s="174">
        <f>Q12/'Données environnement'!$E$96*'Données environnement'!$E$97</f>
        <v>7.9374866789078284</v>
      </c>
      <c r="S12" s="174">
        <f t="shared" si="2"/>
        <v>19.843716697269571</v>
      </c>
      <c r="T12" s="161">
        <f>O12*'Données environnement'!$J$49*44/28*('Données environnement'!$J$47+(1-'Données environnement'!$J$48))</f>
        <v>1.1270260885714282E-2</v>
      </c>
      <c r="U12" s="161">
        <f>Q12*'Données environnement'!$J$28*('Données environnement'!$J$47+(1-'Données environnement'!$J$48))+S12*'Données environnement'!$AF$254*'Données environnement'!$J$58</f>
        <v>1.1977151461837781</v>
      </c>
      <c r="V12" s="157"/>
      <c r="W12" t="s">
        <v>7</v>
      </c>
      <c r="X12" s="157"/>
      <c r="Y12" s="157">
        <f>S12*(1-'Données environnement'!$J$58-'Données environnement'!$J$47-(1-'Données environnement'!$J$48))*'Données environnement'!$AQ$252</f>
        <v>6.8016323351561173E-2</v>
      </c>
      <c r="Z12" s="157"/>
      <c r="AA12" s="30">
        <f>AD12*'Données environnement'!$J$77</f>
        <v>6.6938519199999993</v>
      </c>
      <c r="AB12" s="41">
        <f t="shared" si="3"/>
        <v>354</v>
      </c>
      <c r="AC12" s="157">
        <f>N12-(Q12/'Données environnement'!$J$33*'Données environnement'!$J$28+' Calcul simpl porc'!R12/'Données environnement'!$J$32*'Données environnement'!$J$29)-' Calcul simpl porc'!Q12/'Données environnement'!$J$34*'Données environnement'!$J$28-' Calcul simpl porc'!R12/'Données environnement'!$J$35*'Données environnement'!$J$29</f>
        <v>93.157029698020594</v>
      </c>
      <c r="AD12" s="157">
        <f t="shared" si="1"/>
        <v>9.5626455999999997</v>
      </c>
      <c r="AE12" s="157">
        <f>AD12*'Données environnement'!AV$251*'Données environnement'!J$36</f>
        <v>0</v>
      </c>
      <c r="AF12" s="157">
        <f>AB12*AC12/1000*'Données environnement'!$J$28*'Données environnement'!$J$74</f>
        <v>0.45957567351855177</v>
      </c>
      <c r="AG12" s="157">
        <f>AA12*'Données environnement'!AZ$251*'Données environnement'!$J$31</f>
        <v>0.89095169055199996</v>
      </c>
      <c r="AH12" s="216"/>
      <c r="AI12" s="209">
        <f>(AA12-(AG12/'Données environnement'!$J$31))*0.4*0.525*'Données environnement'!J$31</f>
        <v>1.5138079178560797</v>
      </c>
      <c r="AJ12" s="216"/>
      <c r="AK12" s="208">
        <f>(I12+AF12+U12+Y12)*'Données environnement'!$J$12</f>
        <v>91.430195411065839</v>
      </c>
      <c r="AL12" s="223">
        <f>(H12+T12+X12+AE12)*'Données environnement'!$J$14</f>
        <v>3.0767812217999988</v>
      </c>
      <c r="AM12" s="223">
        <f>((K12+V12+Z12+AG12+AI12)*14/17*'Données environnement'!$J$15*44/28)*'Données environnement'!$J$14</f>
        <v>13.23820768531937</v>
      </c>
      <c r="AN12" s="208">
        <f t="shared" si="4"/>
        <v>107.74518431818521</v>
      </c>
      <c r="AO12" s="214"/>
      <c r="AP12" s="214"/>
      <c r="AQ12" s="157"/>
      <c r="AR12" s="157"/>
      <c r="AS12" s="157"/>
      <c r="AT12" s="219"/>
      <c r="AU12" s="219"/>
      <c r="AV12" s="157"/>
      <c r="AW12" s="157"/>
      <c r="AX12" s="157"/>
      <c r="AY12" s="157"/>
      <c r="AZ12" s="157"/>
      <c r="BA12" s="157"/>
    </row>
    <row r="13" spans="1:53" x14ac:dyDescent="0.35">
      <c r="A13" s="20" t="s">
        <v>736</v>
      </c>
      <c r="B13" s="8" t="s">
        <v>82</v>
      </c>
      <c r="C13" s="118" t="s">
        <v>726</v>
      </c>
      <c r="D13" s="157">
        <v>194</v>
      </c>
      <c r="E13" s="157">
        <f>'Données environnement'!$H$289</f>
        <v>20.3</v>
      </c>
      <c r="F13" s="204">
        <v>450</v>
      </c>
      <c r="G13" s="157">
        <f>'Données environnement'!$I$289</f>
        <v>14.209999999999999</v>
      </c>
      <c r="H13" s="157">
        <f>'Données environnement'!R$251*E13*'Données environnement'!J$36</f>
        <v>6.3742000000000007E-2</v>
      </c>
      <c r="I13" s="157">
        <f>'Données environnement'!$I$251*D13*F13/1000*'Données environnement'!$J$28 + 1.5</f>
        <v>10.513463100000001</v>
      </c>
      <c r="J13" s="157">
        <f>'Données environnement'!E$97/'Données environnement'!E$96*I13/'Données environnement'!J$28*'Données environnement'!J$29</f>
        <v>19.562364176119406</v>
      </c>
      <c r="K13" s="157">
        <f>'Données environnement'!K$251*G13*'Données environnement'!J$31</f>
        <v>6.0179349999999996</v>
      </c>
      <c r="L13" s="157">
        <f>G13-K13/'Données environnement'!$J$31</f>
        <v>9.2364999999999995</v>
      </c>
      <c r="M13" s="41">
        <v>151</v>
      </c>
      <c r="N13" s="157">
        <f t="shared" si="0"/>
        <v>157.8424957238806</v>
      </c>
      <c r="O13" s="157">
        <f>E13-(' Calcul simpl porc'!H13/'Données environnement'!$J$36 + ' Calcul simpl porc'!K13/'Données environnement'!$J$31)</f>
        <v>15.285900000000002</v>
      </c>
      <c r="P13" s="3" t="s">
        <v>727</v>
      </c>
      <c r="Q13" s="174"/>
      <c r="R13" s="174"/>
      <c r="S13" s="174"/>
      <c r="T13" s="161"/>
      <c r="U13" s="161"/>
      <c r="V13" s="157"/>
      <c r="W13" t="s">
        <v>728</v>
      </c>
      <c r="X13" s="157"/>
      <c r="Y13" s="157"/>
      <c r="Z13" s="157"/>
      <c r="AA13" s="30">
        <f>L13</f>
        <v>9.2364999999999995</v>
      </c>
      <c r="AB13" s="41">
        <f t="shared" si="3"/>
        <v>151</v>
      </c>
      <c r="AC13" s="157">
        <f>N13-(Q13/'Données environnement'!$J$33*'Données environnement'!$J$28+' Calcul simpl porc'!R13/'Données environnement'!$J$32*'Données environnement'!$J$29)-' Calcul simpl porc'!Q13/'Données environnement'!$J$34*'Données environnement'!$J$28-' Calcul simpl porc'!R13/'Données environnement'!$J$35*'Données environnement'!$J$29</f>
        <v>157.8424957238806</v>
      </c>
      <c r="AD13" s="157">
        <f t="shared" si="1"/>
        <v>15.285900000000002</v>
      </c>
      <c r="AE13" s="157">
        <f>AD13*'Données environnement'!AV$251*'Données environnement'!J$36</f>
        <v>0</v>
      </c>
      <c r="AF13" s="157">
        <f>AB13*AC13/1000*'Données environnement'!$J$28*'Données environnement'!J39</f>
        <v>4.6309883347916498</v>
      </c>
      <c r="AG13" s="157">
        <f>AA13*'Données environnement'!AZ$251*'Données environnement'!$J$31</f>
        <v>1.2293781499999998</v>
      </c>
      <c r="AH13" s="216">
        <f>AD13*'Données environnement'!BC$251*'Données environnement'!J$31</f>
        <v>3.6991878000000007</v>
      </c>
      <c r="AI13" s="205">
        <f>(AA13-(AG13/'Données environnement'!$J$31))*0.29*0.525*'Données environnement'!J$31</f>
        <v>1.5143982979125001</v>
      </c>
      <c r="AJ13" s="216">
        <f>AD13*'Données environnement'!BC$253*'Données environnement'!J$31</f>
        <v>0.92479695000000017</v>
      </c>
      <c r="AK13" s="208">
        <f>(I13+AF13+U13+Y13)*'Données environnement'!$J$12</f>
        <v>411.92907902633294</v>
      </c>
      <c r="AL13" s="223">
        <f>(H13+T13+X13+AE13)*'Données environnement'!$J$14</f>
        <v>17.401566000000003</v>
      </c>
      <c r="AM13" s="223">
        <f>((K13+V13+Z13+AG13+AI13)*14/17*'Données environnement'!$J$15*44/28)*'Données environnement'!$J$14</f>
        <v>30.95461115068381</v>
      </c>
      <c r="AN13" s="208">
        <f t="shared" si="4"/>
        <v>460.28525617701678</v>
      </c>
      <c r="AO13" s="214"/>
      <c r="AP13" s="214"/>
      <c r="AQ13" s="157"/>
      <c r="AR13" s="157"/>
      <c r="AS13" s="157"/>
      <c r="AT13" s="157"/>
      <c r="AU13" s="157"/>
      <c r="AV13" s="157"/>
      <c r="AW13" s="157"/>
      <c r="AX13" s="157"/>
      <c r="AY13" s="157"/>
      <c r="AZ13" s="157"/>
      <c r="BA13" s="157"/>
    </row>
    <row r="14" spans="1:53" x14ac:dyDescent="0.35">
      <c r="A14" s="20" t="s">
        <v>737</v>
      </c>
      <c r="C14" s="118" t="s">
        <v>726</v>
      </c>
      <c r="D14" s="157">
        <v>194</v>
      </c>
      <c r="E14" s="157">
        <f>'Données environnement'!$H$289</f>
        <v>20.3</v>
      </c>
      <c r="F14" s="204">
        <v>450</v>
      </c>
      <c r="G14" s="157">
        <f>'Données environnement'!$I$289</f>
        <v>14.209999999999999</v>
      </c>
      <c r="H14" s="204">
        <f>'Données environnement'!R$251*E14*'Données environnement'!J$36</f>
        <v>6.3742000000000007E-2</v>
      </c>
      <c r="I14" s="157">
        <f>'Données environnement'!$I$251*D14*F14/1000*'Données environnement'!$J$28 + 1.5</f>
        <v>10.513463100000001</v>
      </c>
      <c r="J14" s="157">
        <f>'Données environnement'!E$97/'Données environnement'!E$96*I14/'Données environnement'!J$28*'Données environnement'!J$29</f>
        <v>19.562364176119406</v>
      </c>
      <c r="K14" s="157">
        <f>'Données environnement'!K$251*G14*'Données environnement'!J$31</f>
        <v>6.0179349999999996</v>
      </c>
      <c r="L14" s="157">
        <f>G14-K14/'Données environnement'!$J$31</f>
        <v>9.2364999999999995</v>
      </c>
      <c r="M14" s="41">
        <v>151</v>
      </c>
      <c r="N14" s="157">
        <f t="shared" si="0"/>
        <v>157.8424957238806</v>
      </c>
      <c r="O14" s="157">
        <f>E14-(' Calcul simpl porc'!H14/'Données environnement'!$J$36 + ' Calcul simpl porc'!K14/'Données environnement'!$J$31)</f>
        <v>15.285900000000002</v>
      </c>
      <c r="P14" s="7" t="s">
        <v>730</v>
      </c>
      <c r="Q14" s="174">
        <f>$M$14/1000*$N$14*'Données Production '!$B$29</f>
        <v>6.9119228877487311</v>
      </c>
      <c r="R14" s="174">
        <f>Q14/'Données environnement'!$E$96*'Données environnement'!$E$97</f>
        <v>4.6079485918324883</v>
      </c>
      <c r="S14" s="174">
        <f t="shared" si="2"/>
        <v>11.519871479581219</v>
      </c>
      <c r="T14" s="161">
        <f>$O$14*'Données environnement'!$J$49*44/28*('Données environnement'!$J$47+(1-'Données environnement'!$J$48))</f>
        <v>1.8015524999999998E-2</v>
      </c>
      <c r="U14" s="161">
        <f>Q14*'Données environnement'!$J$28*('Données environnement'!$J$47+(1-'Données environnement'!$J$48))+S14*'Données environnement'!$AF$254*'Données environnement'!$J$58</f>
        <v>0.69530949084167526</v>
      </c>
      <c r="V14" s="157"/>
      <c r="W14" t="s">
        <v>7</v>
      </c>
      <c r="X14" s="157"/>
      <c r="Y14" s="157">
        <f>S14*(1-'Données environnement'!$J$58-'Données environnement'!$J$47-(1-'Données environnement'!$J$48))*'Données environnement'!$AQ$252</f>
        <v>3.9485511483412589E-2</v>
      </c>
      <c r="Z14" s="157"/>
      <c r="AA14" s="30">
        <f>AD14*'Données environnement'!$J$77</f>
        <v>10.70013</v>
      </c>
      <c r="AB14" s="41">
        <f t="shared" si="3"/>
        <v>151</v>
      </c>
      <c r="AC14" s="157">
        <f>N14-(Q14/'Données environnement'!$J$33*'Données environnement'!$J$28+' Calcul simpl porc'!R14/'Données environnement'!$J$32*'Données environnement'!$J$29)-' Calcul simpl porc'!Q14/'Données environnement'!$J$34*'Données environnement'!$J$28-' Calcul simpl porc'!R14/'Données environnement'!$J$35*'Données environnement'!$J$29</f>
        <v>144.59464352236222</v>
      </c>
      <c r="AD14" s="157">
        <f t="shared" si="1"/>
        <v>15.285900000000002</v>
      </c>
      <c r="AE14" s="157">
        <f>AD14*'Données environnement'!AV$251*'Données environnement'!J$36</f>
        <v>0</v>
      </c>
      <c r="AF14" s="157">
        <f>AB14*AC14/1000*'Données environnement'!$J$28*'Données environnement'!$J$74</f>
        <v>0.3042757137712736</v>
      </c>
      <c r="AG14" s="157">
        <f>AA14*'Données environnement'!AZ$251*'Données environnement'!$J$31</f>
        <v>1.4241873029999998</v>
      </c>
      <c r="AH14" s="216">
        <f>AD14*'Données environnement'!BC$251*'Données environnement'!J$31</f>
        <v>3.6991878000000007</v>
      </c>
      <c r="AI14" s="209">
        <f>(AA14-(AG14/'Données environnement'!$J$31))*0.29*0.525*'Données environnement'!J$31</f>
        <v>1.7543721820432501</v>
      </c>
      <c r="AJ14" s="216">
        <f>AD14*'Données environnement'!BC$253*'Données environnement'!J$31</f>
        <v>0.92479695000000017</v>
      </c>
      <c r="AK14" s="208">
        <f>(I14+AF14+U14+Y14)*'Données environnement'!$J$12</f>
        <v>314.22891979782105</v>
      </c>
      <c r="AL14" s="223">
        <f>(H14+T14+X14+AE14)*'Données environnement'!$J$14</f>
        <v>22.319804325</v>
      </c>
      <c r="AM14" s="223">
        <f>((K14+V14+Z14+AG14+AI14)*14/17*'Données environnement'!$J$15*44/28)*'Données environnement'!$J$14</f>
        <v>32.490674045393973</v>
      </c>
      <c r="AN14" s="208">
        <f>AK14+AL14+AM14</f>
        <v>369.03939816821503</v>
      </c>
      <c r="AO14" s="214"/>
      <c r="AP14" s="214"/>
      <c r="AQ14" s="157"/>
      <c r="AR14" s="157"/>
      <c r="AS14" s="157"/>
      <c r="AT14" s="157"/>
      <c r="AU14" s="157"/>
      <c r="AV14" s="157"/>
      <c r="AW14" s="157"/>
      <c r="AX14" s="157"/>
      <c r="AY14" s="157"/>
      <c r="AZ14" s="157"/>
      <c r="BA14" s="157"/>
    </row>
    <row r="15" spans="1:53" x14ac:dyDescent="0.35">
      <c r="A15" s="46" t="s">
        <v>738</v>
      </c>
      <c r="C15" s="118" t="s">
        <v>726</v>
      </c>
      <c r="D15" s="204">
        <v>194</v>
      </c>
      <c r="E15" s="204">
        <f>'Données environnement'!$H$289</f>
        <v>20.3</v>
      </c>
      <c r="F15" s="204">
        <v>450</v>
      </c>
      <c r="G15" s="204">
        <f>'Données environnement'!$I$289</f>
        <v>14.209999999999999</v>
      </c>
      <c r="H15" s="204">
        <f>'Données environnement'!R$251*E15*'Données environnement'!J$36</f>
        <v>6.3742000000000007E-2</v>
      </c>
      <c r="I15" s="204">
        <f>'Données environnement'!$I$251*D15*F15/1000*'Données environnement'!$J$28 + 1.5</f>
        <v>10.513463100000001</v>
      </c>
      <c r="J15" s="157"/>
      <c r="K15" s="204">
        <f>'Données environnement'!K$251*G15*'Données environnement'!J$31</f>
        <v>6.0179349999999996</v>
      </c>
      <c r="L15" s="157"/>
      <c r="M15" s="41"/>
      <c r="N15" s="157">
        <f>N14</f>
        <v>157.8424957238806</v>
      </c>
      <c r="O15" s="157">
        <f>O14</f>
        <v>15.285900000000002</v>
      </c>
      <c r="P15" s="118" t="s">
        <v>732</v>
      </c>
      <c r="Q15" s="174">
        <f>$M$14/1000*$N$14*'Données Production '!$B$30</f>
        <v>23.834216854305971</v>
      </c>
      <c r="R15" s="174">
        <f>Q15/'Données environnement'!$E$96*'Données environnement'!$E$97</f>
        <v>15.889477902870651</v>
      </c>
      <c r="S15" s="174">
        <f t="shared" si="2"/>
        <v>39.723694757176624</v>
      </c>
      <c r="T15" s="161">
        <f>$O$14*'Données environnement'!$J$49*44/28*('Données environnement'!$J$47)</f>
        <v>6.0051750000000015E-3</v>
      </c>
      <c r="U15" s="161">
        <f>Q15*'Données environnement'!$J$28*('Données environnement'!$J$47)+S15*'Données environnement'!$AF$254*'Données environnement'!$J$58</f>
        <v>0.80072640469831213</v>
      </c>
      <c r="V15" s="157"/>
      <c r="W15" t="s">
        <v>733</v>
      </c>
      <c r="X15" s="157"/>
      <c r="Y15" s="157">
        <f>S15*(1-'Données environnement'!$J$58-'Données environnement'!$J$47)*'Données environnement'!$AQ$253*'Données environnement'!$J$28</f>
        <v>1.853417345135373E-2</v>
      </c>
      <c r="Z15" s="157"/>
      <c r="AA15" s="30">
        <f>AD15*'Données environnement'!$J$77</f>
        <v>10.70013</v>
      </c>
      <c r="AB15" s="41">
        <f>M14</f>
        <v>151</v>
      </c>
      <c r="AC15" s="204">
        <f>N15-(Q15/'Données environnement'!$J$33*'Données environnement'!$J$28+' Calcul simpl porc'!R15/'Données environnement'!$J$32*'Données environnement'!$J$29)-' Calcul simpl porc'!Q15/'Données environnement'!$J$34*'Données environnement'!$J$28-' Calcul simpl porc'!R15/'Données environnement'!$J$35*'Données environnement'!$J$29</f>
        <v>112.16024675312747</v>
      </c>
      <c r="AD15" s="204">
        <f t="shared" si="1"/>
        <v>15.285900000000002</v>
      </c>
      <c r="AE15" s="157"/>
      <c r="AF15" s="204">
        <f>AB15*AC15/1000*'Données environnement'!$J$28*'Données environnement'!$J$74</f>
        <v>0.23602284501148926</v>
      </c>
      <c r="AG15" s="204">
        <f>AA15*'Données environnement'!AZ$251*'Données environnement'!$J$31</f>
        <v>1.4241873029999998</v>
      </c>
      <c r="AH15" s="216"/>
      <c r="AI15" s="209">
        <f>(AA15-(AG15/'Données environnement'!$J$31))*0.29*0.525*'Données environnement'!J$31</f>
        <v>1.7543721820432501</v>
      </c>
      <c r="AJ15" s="216"/>
      <c r="AK15" s="208">
        <f>(I15+AF15+U15+Y15)*'Données environnement'!$J$12</f>
        <v>314.66990542998337</v>
      </c>
      <c r="AL15" s="223">
        <f>(H15+T15+X15+AE15)*'Données environnement'!$J$14</f>
        <v>19.040978775000003</v>
      </c>
      <c r="AM15" s="223">
        <f>((K15+V15+Z15+AG15+AI15)*14/17*'Données environnement'!$J$15*44/28)*'Données environnement'!$J$14</f>
        <v>32.490674045393973</v>
      </c>
      <c r="AN15" s="208">
        <f t="shared" si="4"/>
        <v>366.20155825037733</v>
      </c>
      <c r="AO15" s="214"/>
      <c r="AP15" s="214"/>
      <c r="AQ15" s="157"/>
      <c r="AR15" s="157"/>
      <c r="AS15" s="157"/>
      <c r="AT15" s="157"/>
      <c r="AU15" s="157"/>
      <c r="AV15" s="157"/>
      <c r="AW15" s="157"/>
      <c r="AX15" s="157"/>
      <c r="AY15" s="157"/>
      <c r="AZ15" s="157"/>
      <c r="BA15" s="157"/>
    </row>
    <row r="16" spans="1:53" x14ac:dyDescent="0.35">
      <c r="A16" s="20" t="s">
        <v>739</v>
      </c>
      <c r="C16" s="10" t="s">
        <v>10</v>
      </c>
      <c r="D16" s="157">
        <v>194</v>
      </c>
      <c r="E16" s="157">
        <f>'Données environnement'!$H$289</f>
        <v>20.3</v>
      </c>
      <c r="F16" s="204">
        <v>450</v>
      </c>
      <c r="G16" s="157">
        <f>'Données environnement'!$I$289</f>
        <v>14.209999999999999</v>
      </c>
      <c r="H16" s="157">
        <v>0</v>
      </c>
      <c r="I16" s="157">
        <f>0.001*D16*F16/1000*'Données environnement'!$J$28 + 1.5</f>
        <v>1.5584910000000001</v>
      </c>
      <c r="J16" s="157">
        <f>'Données environnement'!E$97/'Données environnement'!E$96*I16/'Données environnement'!J$28*'Données environnement'!J$29</f>
        <v>2.8998787761194036</v>
      </c>
      <c r="K16" s="157">
        <f>'Données environnement'!K$251*G16*'Données environnement'!J$31*0.55</f>
        <v>3.30986425</v>
      </c>
      <c r="L16" s="157">
        <f>G16-K16/'Données environnement'!$J$31</f>
        <v>11.474574999999998</v>
      </c>
      <c r="M16" s="41">
        <v>354</v>
      </c>
      <c r="N16" s="157">
        <f t="shared" si="0"/>
        <v>186.23176597388058</v>
      </c>
      <c r="O16" s="157">
        <f>E16-(' Calcul simpl porc'!H16/'Données environnement'!$J$36 + ' Calcul simpl porc'!K16/'Données environnement'!$J$31)</f>
        <v>17.564575000000001</v>
      </c>
      <c r="P16" s="7" t="s">
        <v>730</v>
      </c>
      <c r="Q16" s="174">
        <f>M16/1000*N16*'Données Production '!$B$29</f>
        <v>19.118553094878578</v>
      </c>
      <c r="R16" s="174">
        <f>Q16/'Données environnement'!$E$96*'Données environnement'!$E$97</f>
        <v>12.745702063252388</v>
      </c>
      <c r="S16" s="174">
        <f t="shared" si="2"/>
        <v>31.864255158130966</v>
      </c>
      <c r="T16" s="161">
        <f>O16*'Données environnement'!$J$49*44/28*('Données environnement'!$J$47+(1-'Données environnement'!$J$48))</f>
        <v>2.0701106249999997E-2</v>
      </c>
      <c r="U16" s="161">
        <f>Q16*'Données environnement'!$J$28*('Données environnement'!$J$47+(1-'Données environnement'!$J$48))+S16*'Données environnement'!$AF$254*'Données environnement'!$J$58</f>
        <v>1.9232435942813735</v>
      </c>
      <c r="V16" s="157"/>
      <c r="W16" t="s">
        <v>7</v>
      </c>
      <c r="X16" s="157"/>
      <c r="Y16" s="157">
        <f>S16*(1-'Données environnement'!$J$58-'Données environnement'!$J$47-(1-'Données environnement'!$J$48))*'Données environnement'!$AQ$252</f>
        <v>0.10921792098000969</v>
      </c>
      <c r="Z16" s="157"/>
      <c r="AA16" s="30">
        <f>AD16*'Données environnement'!$J$77</f>
        <v>12.2952025</v>
      </c>
      <c r="AB16" s="41">
        <f t="shared" si="3"/>
        <v>354</v>
      </c>
      <c r="AC16" s="157">
        <f>N16-(Q16/'Données environnement'!$J$33*'Données environnement'!$J$28+' Calcul simpl porc'!R16/'Données environnement'!$J$32*'Données environnement'!$J$29)-' Calcul simpl porc'!Q16/'Données environnement'!$J$34*'Données environnement'!$J$28-' Calcul simpl porc'!R16/'Données environnement'!$J$35*'Données environnement'!$J$29</f>
        <v>149.58787254202997</v>
      </c>
      <c r="AD16" s="157">
        <f t="shared" si="1"/>
        <v>17.564575000000001</v>
      </c>
      <c r="AE16" s="157">
        <f>AD16*'Données environnement'!AV$251*'Données environnement'!J$36</f>
        <v>0</v>
      </c>
      <c r="AF16" s="157">
        <f>AB16*AC16/1000*'Données environnement'!$J$28*'Données environnement'!$J$74</f>
        <v>0.73796843347798835</v>
      </c>
      <c r="AG16" s="157">
        <f>AA16*'Données environnement'!AZ$251*'Données environnement'!$J$31</f>
        <v>1.6364914527499999</v>
      </c>
      <c r="AH16" s="216"/>
      <c r="AI16" s="209">
        <f>(AA16-(AG16/'Données environnement'!$J$31))*0.29*0.525*'Données environnement'!J$31</f>
        <v>2.0158971188750625</v>
      </c>
      <c r="AJ16" s="216"/>
      <c r="AK16" s="208">
        <f>(I16+AF16+U16+Y16)*'Données environnement'!$J$12</f>
        <v>117.7466498057109</v>
      </c>
      <c r="AL16" s="223">
        <f>(H16+T16+X16+AE16)*'Données environnement'!$J$14</f>
        <v>5.6514020062499988</v>
      </c>
      <c r="AM16" s="223">
        <f>((K16+V16+Z16+AG16+AI16)*14/17*'Données environnement'!$J$15*44/28)*'Données environnement'!$J$14</f>
        <v>24.59722967451772</v>
      </c>
      <c r="AN16" s="208">
        <f t="shared" si="4"/>
        <v>147.99528148647863</v>
      </c>
      <c r="AO16" s="214"/>
      <c r="AP16" s="214"/>
      <c r="AQ16" s="157"/>
      <c r="AR16" s="157"/>
      <c r="AS16" s="157"/>
      <c r="AT16" s="157"/>
      <c r="AU16" s="157"/>
      <c r="AV16" s="157"/>
      <c r="AW16" s="157"/>
      <c r="AX16" s="157"/>
      <c r="AY16" s="157"/>
      <c r="AZ16" s="157"/>
      <c r="BA16" s="157"/>
    </row>
    <row r="17" spans="1:53" x14ac:dyDescent="0.35">
      <c r="A17" s="20" t="s">
        <v>740</v>
      </c>
      <c r="C17" s="10" t="s">
        <v>10</v>
      </c>
      <c r="D17" s="157">
        <v>194</v>
      </c>
      <c r="E17" s="157">
        <f>'Données environnement'!$H$289</f>
        <v>20.3</v>
      </c>
      <c r="F17" s="204">
        <v>450</v>
      </c>
      <c r="G17" s="157">
        <f>'Données environnement'!$I$289</f>
        <v>14.209999999999999</v>
      </c>
      <c r="H17" s="157">
        <v>0</v>
      </c>
      <c r="I17" s="157">
        <f>0.001*D17*F17/1000*'Données environnement'!$J$28 + 1.5</f>
        <v>1.5584910000000001</v>
      </c>
      <c r="J17" s="157">
        <f>'Données environnement'!E$97/'Données environnement'!E$96*I17/'Données environnement'!J$28*'Données environnement'!J$29</f>
        <v>2.8998787761194036</v>
      </c>
      <c r="K17" s="157">
        <f>'Données environnement'!K$251*G17*'Données environnement'!J$31*0.55</f>
        <v>3.30986425</v>
      </c>
      <c r="L17" s="157">
        <f>G17-K17/'Données environnement'!$J$31</f>
        <v>11.474574999999998</v>
      </c>
      <c r="M17" s="41">
        <v>354</v>
      </c>
      <c r="N17" s="157">
        <f t="shared" si="0"/>
        <v>186.23176597388058</v>
      </c>
      <c r="O17" s="157">
        <f>E17-(' Calcul simpl porc'!H17/'Données environnement'!$J$36 + ' Calcul simpl porc'!K17/'Données environnement'!$J$31)</f>
        <v>17.564575000000001</v>
      </c>
      <c r="P17" s="118" t="s">
        <v>732</v>
      </c>
      <c r="Q17" s="174">
        <f>M17/1000*N17*'Données Production '!$B$30</f>
        <v>65.926045154753723</v>
      </c>
      <c r="R17" s="174">
        <f>Q17/'Données environnement'!$E$96*'Données environnement'!$E$97</f>
        <v>43.950696769835815</v>
      </c>
      <c r="S17" s="174">
        <f t="shared" si="2"/>
        <v>109.87674192458954</v>
      </c>
      <c r="T17" s="161">
        <f>O17*'Données environnement'!$J$49*44/28*('Données environnement'!$J$47)</f>
        <v>6.9003687500000009E-3</v>
      </c>
      <c r="U17" s="161">
        <f>Q17*'Données environnement'!$J$28*('Données environnement'!$J$47)+S17*'Données environnement'!$AF$254*'Données environnement'!$J$58</f>
        <v>2.2148294376707214</v>
      </c>
      <c r="V17" s="157"/>
      <c r="W17" t="s">
        <v>733</v>
      </c>
      <c r="X17" s="157"/>
      <c r="Y17" s="157">
        <f>S17*(1-'Données environnement'!$J$58-'Données environnement'!$J$47)*'Données environnement'!$AQ$253*'Données environnement'!J28</f>
        <v>5.1265991382436947E-2</v>
      </c>
      <c r="Z17" s="157"/>
      <c r="AA17" s="30">
        <f>AD17*'Données environnement'!$J$77</f>
        <v>12.2952025</v>
      </c>
      <c r="AB17" s="41">
        <f t="shared" si="3"/>
        <v>354</v>
      </c>
      <c r="AC17" s="157">
        <f>N17-(Q17/'Données environnement'!$J$33*'Données environnement'!$J$28+' Calcul simpl porc'!R17/'Données environnement'!$J$32*'Données environnement'!$J$29)-' Calcul simpl porc'!Q17/'Données environnement'!$J$34*'Données environnement'!$J$28-' Calcul simpl porc'!R17/'Données environnement'!$J$35*'Données environnement'!$J$29</f>
        <v>59.873512760602608</v>
      </c>
      <c r="AD17" s="157">
        <f t="shared" si="1"/>
        <v>17.564575000000001</v>
      </c>
      <c r="AE17" s="157">
        <f>AD17*'Données environnement'!AV$251*'Données environnement'!J$36</f>
        <v>0</v>
      </c>
      <c r="AF17" s="157">
        <f>AB17*AC17/1000*'Données environnement'!$J$28*'Données environnement'!$J$74</f>
        <v>0.29537663493644228</v>
      </c>
      <c r="AG17" s="157">
        <f>AA17*'Données environnement'!AZ$251*'Données environnement'!$J$31</f>
        <v>1.6364914527499999</v>
      </c>
      <c r="AH17" s="216"/>
      <c r="AI17" s="209">
        <f>(AA17-(AG17/'Données environnement'!$J$31))*0.29*0.525*'Données environnement'!J$31</f>
        <v>2.0158971188750625</v>
      </c>
      <c r="AJ17" s="216"/>
      <c r="AK17" s="208">
        <f>(I17+AF17+U17+Y17)*'Données environnement'!$J$12</f>
        <v>112.06299534051713</v>
      </c>
      <c r="AL17" s="223">
        <f>(H17+T17+X17+AE17)*'Données environnement'!$J$14</f>
        <v>1.8838006687500002</v>
      </c>
      <c r="AM17" s="223">
        <f>((K17+V17+Z17+AG17+AI17)*14/17*'Données environnement'!$J$15*44/28)*'Données environnement'!$J$14</f>
        <v>24.59722967451772</v>
      </c>
      <c r="AN17" s="208">
        <f t="shared" si="4"/>
        <v>138.54402568378487</v>
      </c>
      <c r="AO17" s="214"/>
      <c r="AP17" s="214"/>
      <c r="AQ17" s="157"/>
      <c r="AR17" s="157"/>
      <c r="AS17" s="157"/>
      <c r="AT17" s="157"/>
      <c r="AU17" s="157"/>
      <c r="AV17" s="157"/>
      <c r="AW17" s="157"/>
      <c r="AX17" s="157"/>
      <c r="AY17" s="157"/>
      <c r="AZ17" s="157"/>
      <c r="BA17" s="157"/>
    </row>
    <row r="18" spans="1:53" x14ac:dyDescent="0.35">
      <c r="A18" s="20" t="s">
        <v>741</v>
      </c>
      <c r="B18" s="8" t="s">
        <v>101</v>
      </c>
      <c r="C18" s="118" t="s">
        <v>726</v>
      </c>
      <c r="D18" s="157">
        <v>36.5</v>
      </c>
      <c r="E18" s="157">
        <f>'Données environnement'!$H$297</f>
        <v>3.5750000000000002</v>
      </c>
      <c r="F18" s="204">
        <v>450</v>
      </c>
      <c r="G18" s="157">
        <f>'Données environnement'!$I$297</f>
        <v>2.5024999999999999</v>
      </c>
      <c r="H18" s="157">
        <f>'Données environnement'!R$251*E18*'Données environnement'!J$36</f>
        <v>1.1225500000000001E-2</v>
      </c>
      <c r="I18" s="157">
        <f>'Données environnement'!$I$257*D18*F18/1000*'Données environnement'!$J$28 + 1.5</f>
        <v>2.0788498500000001</v>
      </c>
      <c r="J18" s="157">
        <f>'Données environnement'!E$97/'Données environnement'!E$96*I18/'Données environnement'!J$28*'Données environnement'!J$29</f>
        <v>3.8681086761194035</v>
      </c>
      <c r="K18" s="157">
        <f>'Données environnement'!K$254*G18*'Données environnement'!J$31</f>
        <v>0.81756675000000001</v>
      </c>
      <c r="L18" s="157">
        <f>G18-K18/'Données environnement'!$J$31</f>
        <v>1.8268249999999999</v>
      </c>
      <c r="M18" s="41">
        <v>389</v>
      </c>
      <c r="N18" s="157">
        <f t="shared" si="0"/>
        <v>29.724249223880594</v>
      </c>
      <c r="O18" s="157">
        <f>E18-(' Calcul simpl porc'!H18/'Données environnement'!$J$36 + ' Calcul simpl porc'!K18/'Données environnement'!$J$31)</f>
        <v>2.8921749999999999</v>
      </c>
      <c r="P18" s="3" t="s">
        <v>727</v>
      </c>
      <c r="Q18" s="174"/>
      <c r="R18" s="174"/>
      <c r="S18" s="174"/>
      <c r="T18" s="161"/>
      <c r="U18" s="161"/>
      <c r="V18" s="157"/>
      <c r="W18" t="s">
        <v>728</v>
      </c>
      <c r="X18" s="157"/>
      <c r="Y18" s="157"/>
      <c r="Z18" s="157"/>
      <c r="AA18" s="30">
        <f>L19</f>
        <v>1.8268249999999999</v>
      </c>
      <c r="AB18" s="41">
        <f t="shared" si="3"/>
        <v>389</v>
      </c>
      <c r="AC18" s="157">
        <f>N18-(Q18/'Données environnement'!$J$33*'Données environnement'!$J$28+' Calcul simpl porc'!R18/'Données environnement'!$J$32*'Données environnement'!$J$29)-' Calcul simpl porc'!Q18/'Données environnement'!$J$34*'Données environnement'!$J$28-' Calcul simpl porc'!R18/'Données environnement'!$J$35*'Données environnement'!$J$29</f>
        <v>29.724249223880594</v>
      </c>
      <c r="AD18" s="157">
        <f t="shared" si="1"/>
        <v>2.8921749999999999</v>
      </c>
      <c r="AE18" s="157">
        <f>AD18*'Données environnement'!AV$251*'Données environnement'!J$36</f>
        <v>0</v>
      </c>
      <c r="AF18" s="157">
        <f>AB18*AC18/1000*'Données environnement'!$J$28*'Données environnement'!$J$39</f>
        <v>2.2466390118138002</v>
      </c>
      <c r="AG18" s="157">
        <f>AA18*'Données environnement'!AZ$251*'Données environnement'!$J$31</f>
        <v>0.24315040749999997</v>
      </c>
      <c r="AH18" s="216">
        <f>AD18*'Données environnement'!BC$251*'Données environnement'!J$31</f>
        <v>0.69990635000000001</v>
      </c>
      <c r="AI18" s="205">
        <f>(AA18-(AG18/'Données environnement'!$J$31))*0.4*0.525*'Données environnement'!J$31</f>
        <v>0.41313464692500007</v>
      </c>
      <c r="AJ18" s="216">
        <f>AD18*'Données environnement'!BC$253*'Données environnement'!J$31</f>
        <v>0.1749765875</v>
      </c>
      <c r="AK18" s="208">
        <f>(I18+AF18+U18+Y18)*'Données environnement'!$J$12</f>
        <v>117.65329704133538</v>
      </c>
      <c r="AL18" s="223">
        <f>(H18+T18+X18+AE18)*'Données environnement'!$J$14</f>
        <v>3.0645615000000004</v>
      </c>
      <c r="AM18" s="223">
        <f>((K18+V18+Z18+AG18+AI18)*14/17*'Données environnement'!$J$15*44/28)*'Données environnement'!$J$14</f>
        <v>5.2070317278685607</v>
      </c>
      <c r="AN18" s="208">
        <f t="shared" si="4"/>
        <v>125.92489026920393</v>
      </c>
      <c r="AO18" s="214"/>
      <c r="AP18" s="214"/>
      <c r="AQ18" s="157"/>
      <c r="AR18" s="157"/>
      <c r="AS18" s="157"/>
      <c r="AT18" s="157"/>
      <c r="AU18" s="157"/>
      <c r="AV18" s="157"/>
      <c r="AW18" s="157"/>
      <c r="AX18" s="157"/>
      <c r="AY18" s="157"/>
      <c r="AZ18" s="157"/>
      <c r="BA18" s="157"/>
    </row>
    <row r="19" spans="1:53" x14ac:dyDescent="0.35">
      <c r="A19" s="20" t="s">
        <v>742</v>
      </c>
      <c r="C19" s="118" t="s">
        <v>726</v>
      </c>
      <c r="D19" s="157">
        <v>36.5</v>
      </c>
      <c r="E19" s="157">
        <f>'Données environnement'!$H$297</f>
        <v>3.5750000000000002</v>
      </c>
      <c r="F19" s="204">
        <v>450</v>
      </c>
      <c r="G19" s="157">
        <f>'Données environnement'!$I$297</f>
        <v>2.5024999999999999</v>
      </c>
      <c r="H19" s="204">
        <f>'Données environnement'!R$251*E19*'Données environnement'!J$36</f>
        <v>1.1225500000000001E-2</v>
      </c>
      <c r="I19" s="157">
        <f>'Données environnement'!$I$257*D19*F19/1000*'Données environnement'!$J$28 + 1.5</f>
        <v>2.0788498500000001</v>
      </c>
      <c r="J19" s="157">
        <f>'Données environnement'!E$97/'Données environnement'!E$96*I19/'Données environnement'!J$28*'Données environnement'!J$29</f>
        <v>3.8681086761194035</v>
      </c>
      <c r="K19" s="157">
        <f>'Données environnement'!K$254*G19*'Données environnement'!J$31</f>
        <v>0.81756675000000001</v>
      </c>
      <c r="L19" s="157">
        <f>G19-K19/'Données environnement'!$J$31</f>
        <v>1.8268249999999999</v>
      </c>
      <c r="M19" s="41">
        <v>389</v>
      </c>
      <c r="N19" s="157">
        <f t="shared" si="0"/>
        <v>29.724249223880594</v>
      </c>
      <c r="O19" s="157">
        <f>E19-(' Calcul simpl porc'!H19/'Données environnement'!$J$36 + ' Calcul simpl porc'!K19/'Données environnement'!$J$31)</f>
        <v>2.8921749999999999</v>
      </c>
      <c r="P19" s="7" t="s">
        <v>730</v>
      </c>
      <c r="Q19" s="174">
        <f>$M$19/1000*$N$19*'Données Production '!$B$29</f>
        <v>3.35319255494597</v>
      </c>
      <c r="R19" s="174">
        <f>Q19/'Données environnement'!$E$96*'Données environnement'!$E$97</f>
        <v>2.2354617032973136</v>
      </c>
      <c r="S19" s="174">
        <f t="shared" si="2"/>
        <v>5.5886542582432837</v>
      </c>
      <c r="T19" s="161">
        <f>$O$19*'Données environnement'!$J$49*44/28*('Données environnement'!$J$47+(1-'Données environnement'!$J$48))</f>
        <v>3.4086348214285708E-3</v>
      </c>
      <c r="U19" s="161">
        <f>Q19*'Données environnement'!$J$28*('Données environnement'!$J$47+(1-'Données environnement'!$J$48))+S19*'Données environnement'!$AF$254*'Données environnement'!$J$58</f>
        <v>0.33731664052649313</v>
      </c>
      <c r="V19" s="157"/>
      <c r="W19" t="s">
        <v>7</v>
      </c>
      <c r="X19" s="157"/>
      <c r="Y19" s="157">
        <f>S19*(1-'Données environnement'!$J$58-'Données environnement'!$J$47-(1-'Données environnement'!$J$48))*'Données environnement'!$AQ$252</f>
        <v>1.915567133555468E-2</v>
      </c>
      <c r="Z19" s="157"/>
      <c r="AA19" s="30">
        <f>AD19*'Données environnement'!$J$77</f>
        <v>2.0245224999999998</v>
      </c>
      <c r="AB19" s="41">
        <f t="shared" si="3"/>
        <v>389</v>
      </c>
      <c r="AC19" s="157">
        <f>N19-(Q19/'Données environnement'!$J$33*'Données environnement'!$J$28+' Calcul simpl porc'!R19/'Données environnement'!$J$32*'Données environnement'!$J$29)-' Calcul simpl porc'!Q19/'Données environnement'!$J$34*'Données environnement'!$J$28-' Calcul simpl porc'!R19/'Données environnement'!$J$35*'Données environnement'!$J$29</f>
        <v>23.297296826900816</v>
      </c>
      <c r="AD19" s="157">
        <f t="shared" si="1"/>
        <v>2.8921749999999999</v>
      </c>
      <c r="AE19" s="157">
        <f>AD19*'Données environnement'!AV$251*'Données environnement'!J$36</f>
        <v>0</v>
      </c>
      <c r="AF19" s="157">
        <f>AB19*AC19/1000*'Données environnement'!$J$28*'Données environnement'!$J$74</f>
        <v>0.12629706901749932</v>
      </c>
      <c r="AG19" s="157">
        <f>AA19*'Données environnement'!AZ$251*'Données environnement'!$J$31</f>
        <v>0.26946394474999996</v>
      </c>
      <c r="AH19" s="216">
        <f>AD19*'Données environnement'!BC$251*'Données environnement'!J$31</f>
        <v>0.69990635000000001</v>
      </c>
      <c r="AI19" s="209">
        <f>(AA19-(AG19/'Données environnement'!$J$31))*0.4*0.525*'Données environnement'!J$31</f>
        <v>0.45784373885250007</v>
      </c>
      <c r="AJ19" s="216">
        <f>AD19*'Données environnement'!BC$253*'Données environnement'!J$31</f>
        <v>0.1749765875</v>
      </c>
      <c r="AK19" s="208">
        <f>(I19+AF19+U19+Y19)*'Données environnement'!$J$12</f>
        <v>69.676043079923687</v>
      </c>
      <c r="AL19" s="223">
        <f>(H19+T19+X19+AE19)*'Données environnement'!$J$14</f>
        <v>3.9951188062499998</v>
      </c>
      <c r="AM19" s="223">
        <f>((K19+V19+Z19+AG19+AI19)*14/17*'Données environnement'!$J$15*44/28)*'Données environnement'!$J$14</f>
        <v>5.4579504989509493</v>
      </c>
      <c r="AN19" s="208">
        <f t="shared" si="4"/>
        <v>79.129112385124643</v>
      </c>
      <c r="AO19" s="214"/>
      <c r="AP19" s="214"/>
      <c r="AQ19" s="157"/>
      <c r="AR19" s="157"/>
      <c r="AS19" s="157"/>
      <c r="AT19" s="157"/>
      <c r="AU19" s="157"/>
      <c r="AV19" s="157"/>
      <c r="AW19" s="157"/>
      <c r="AX19" s="157"/>
      <c r="AY19" s="157"/>
      <c r="AZ19" s="157"/>
      <c r="BA19" s="157"/>
    </row>
    <row r="20" spans="1:53" x14ac:dyDescent="0.35">
      <c r="A20" s="46" t="s">
        <v>743</v>
      </c>
      <c r="C20" s="118" t="s">
        <v>726</v>
      </c>
      <c r="D20" s="204">
        <v>36.5</v>
      </c>
      <c r="E20" s="204">
        <f>'Données environnement'!$H$297</f>
        <v>3.5750000000000002</v>
      </c>
      <c r="F20" s="204">
        <v>450</v>
      </c>
      <c r="G20" s="204">
        <f>'Données environnement'!$I$297</f>
        <v>2.5024999999999999</v>
      </c>
      <c r="H20" s="204">
        <f>'Données environnement'!R$251*E20*'Données environnement'!J$36</f>
        <v>1.1225500000000001E-2</v>
      </c>
      <c r="I20" s="204">
        <f>'Données environnement'!$I$257*D20*F20/1000*'Données environnement'!$J$28 + 1.5</f>
        <v>2.0788498500000001</v>
      </c>
      <c r="J20" s="157"/>
      <c r="K20" s="204">
        <f>'Données environnement'!K$254*G20*'Données environnement'!J$31</f>
        <v>0.81756675000000001</v>
      </c>
      <c r="L20" s="157"/>
      <c r="M20" s="41"/>
      <c r="N20" s="157">
        <f>N19</f>
        <v>29.724249223880594</v>
      </c>
      <c r="O20" s="157">
        <f>O19</f>
        <v>2.8921749999999999</v>
      </c>
      <c r="P20" s="118" t="s">
        <v>732</v>
      </c>
      <c r="Q20" s="174">
        <f>$M$19/1000*$N$19*'Données Production '!$B$30</f>
        <v>11.562732948089552</v>
      </c>
      <c r="R20" s="174">
        <f>Q20/'Données environnement'!$E$96*'Données environnement'!$E$97</f>
        <v>7.7084886320597024</v>
      </c>
      <c r="S20" s="174">
        <f t="shared" si="2"/>
        <v>19.271221580149255</v>
      </c>
      <c r="T20" s="161">
        <f>$O$19*'Données environnement'!$J$49*44/28*('Données environnement'!$J$47)</f>
        <v>1.1362116071428573E-3</v>
      </c>
      <c r="U20" s="161">
        <f>Q20*'Données environnement'!$J$28*('Données environnement'!$J$47)+S20*'Données environnement'!$AF$254*'Données environnement'!$J$58</f>
        <v>0.38845772187970062</v>
      </c>
      <c r="V20" s="157"/>
      <c r="W20" t="s">
        <v>733</v>
      </c>
      <c r="X20" s="157"/>
      <c r="Y20" s="157">
        <f>S20*(1-'Données environnement'!$J$58-'Données environnement'!$J$47)*'Données environnement'!$AQ$253*'Données environnement'!$J$28</f>
        <v>8.9915141471433417E-3</v>
      </c>
      <c r="Z20" s="157"/>
      <c r="AA20" s="30">
        <f>AD20*'Données environnement'!$J$77</f>
        <v>2.0245224999999998</v>
      </c>
      <c r="AB20" s="41">
        <f>M19</f>
        <v>389</v>
      </c>
      <c r="AC20" s="204">
        <f>N20-(Q20/'Données environnement'!$J$33*'Données environnement'!$J$28+' Calcul simpl porc'!R20/'Données environnement'!$J$32*'Données environnement'!$J$29)-' Calcul simpl porc'!Q20/'Données environnement'!$J$34*'Données environnement'!$J$28-' Calcul simpl porc'!R20/'Données environnement'!$J$35*'Données environnement'!$J$29</f>
        <v>7.5623444067089469</v>
      </c>
      <c r="AD20" s="204">
        <f t="shared" si="1"/>
        <v>2.8921749999999999</v>
      </c>
      <c r="AE20" s="157"/>
      <c r="AF20" s="204">
        <f>AB20*AC20/1000*'Données environnement'!$J$28*'Données environnement'!$J$74</f>
        <v>4.0996255512587496E-2</v>
      </c>
      <c r="AG20" s="204">
        <f>AA20*'Données environnement'!AZ$251*'Données environnement'!$J$31</f>
        <v>0.26946394474999996</v>
      </c>
      <c r="AH20" s="216"/>
      <c r="AI20" s="209">
        <f>(AA20-(AG20/'Données environnement'!$J$31))*0.4*0.525*'Données environnement'!J$31</f>
        <v>0.45784373885250007</v>
      </c>
      <c r="AJ20" s="216"/>
      <c r="AK20" s="208">
        <f>(I20+AF20+U20+Y20)*'Données environnement'!$J$12</f>
        <v>68.470433289872545</v>
      </c>
      <c r="AL20" s="223">
        <f>(H20+T20+X20+AE20)*'Données environnement'!$J$14</f>
        <v>3.3747472687500002</v>
      </c>
      <c r="AM20" s="223">
        <f>((K20+V20+Z20+AG20+AI20)*14/17*'Données environnement'!$J$15*44/28)*'Données environnement'!$J$14</f>
        <v>5.4579504989509493</v>
      </c>
      <c r="AN20" s="208">
        <f t="shared" si="4"/>
        <v>77.303131057573495</v>
      </c>
      <c r="AO20" s="214"/>
      <c r="AP20" s="214"/>
      <c r="AQ20" s="157"/>
      <c r="AR20" s="157"/>
      <c r="AS20" s="157"/>
      <c r="AT20" s="157"/>
      <c r="AU20" s="157"/>
      <c r="AV20" s="157"/>
      <c r="AW20" s="157"/>
      <c r="AX20" s="157"/>
      <c r="AY20" s="157"/>
      <c r="AZ20" s="157"/>
      <c r="BA20" s="157"/>
    </row>
    <row r="21" spans="1:53" x14ac:dyDescent="0.35">
      <c r="A21" s="20" t="s">
        <v>744</v>
      </c>
      <c r="C21" s="10" t="s">
        <v>10</v>
      </c>
      <c r="D21" s="157">
        <v>36.5</v>
      </c>
      <c r="E21" s="157">
        <f>'Données environnement'!$H$297</f>
        <v>3.5750000000000002</v>
      </c>
      <c r="F21" s="204">
        <v>450</v>
      </c>
      <c r="G21" s="157">
        <f>'Données environnement'!$I$297</f>
        <v>2.5024999999999999</v>
      </c>
      <c r="H21" s="157">
        <v>0</v>
      </c>
      <c r="I21" s="157">
        <f>0.001*D21*F21/1000*'Données environnement'!$J$28 + 1.5</f>
        <v>1.5110047499999999</v>
      </c>
      <c r="J21" s="157">
        <f>'Données environnement'!E$97/'Données environnement'!E$96*I21/'Données environnement'!J$28*'Données environnement'!J$29</f>
        <v>2.8115212761194033</v>
      </c>
      <c r="K21" s="157">
        <f>'Données environnement'!K$254*G21*'Données environnement'!J$31*0.55</f>
        <v>0.44966171250000003</v>
      </c>
      <c r="L21" s="157">
        <f>G21-K21/'Données environnement'!$J$31</f>
        <v>2.1308787499999999</v>
      </c>
      <c r="M21" s="41">
        <v>389</v>
      </c>
      <c r="N21" s="157">
        <f t="shared" si="0"/>
        <v>31.727812261380603</v>
      </c>
      <c r="O21" s="157">
        <f>E21-(' Calcul simpl porc'!H21/'Données environnement'!$J$36 + ' Calcul simpl porc'!K21/'Données environnement'!$J$31)</f>
        <v>3.2033787500000002</v>
      </c>
      <c r="P21" s="7" t="s">
        <v>730</v>
      </c>
      <c r="Q21" s="174">
        <f>M21/1000*N21*'Données Production '!$B$29</f>
        <v>3.5792145012063457</v>
      </c>
      <c r="R21" s="174">
        <f>Q21/'Données environnement'!$E$96*'Données environnement'!$E$97</f>
        <v>2.3861430008042306</v>
      </c>
      <c r="S21" s="174">
        <f t="shared" si="2"/>
        <v>5.9653575020105762</v>
      </c>
      <c r="T21" s="161">
        <f>O21*'Données environnement'!$J$49*44/28*('Données environnement'!$J$47+(1-'Données environnement'!$J$48))</f>
        <v>3.7754106696428567E-3</v>
      </c>
      <c r="U21" s="161">
        <f>Q21*'Données environnement'!$J$28*('Données environnement'!$J$47+(1-'Données environnement'!$J$48))+S21*'Données environnement'!$AF$254*'Données environnement'!$J$58</f>
        <v>0.36005346889185313</v>
      </c>
      <c r="V21" s="157"/>
      <c r="W21" t="s">
        <v>7</v>
      </c>
      <c r="X21" s="157"/>
      <c r="Y21" s="157">
        <f>S21*(1-'Données environnement'!$J$58-'Données environnement'!$J$47-(1-'Données environnement'!$J$48))*'Données environnement'!$AQ$252</f>
        <v>2.044685937389145E-2</v>
      </c>
      <c r="Z21" s="157"/>
      <c r="AA21" s="30">
        <f>AD21*'Données environnement'!$J$77</f>
        <v>2.2423651250000001</v>
      </c>
      <c r="AB21" s="41">
        <f t="shared" si="3"/>
        <v>389</v>
      </c>
      <c r="AC21" s="157">
        <f>N21-(Q21/'Données environnement'!$J$33*'Données environnement'!$J$28+' Calcul simpl porc'!R21/'Données environnement'!$J$32*'Données environnement'!$J$29)-' Calcul simpl porc'!Q21/'Données environnement'!$J$34*'Données environnement'!$J$28-' Calcul simpl porc'!R21/'Données environnement'!$J$35*'Données environnement'!$J$29</f>
        <v>24.867651134068439</v>
      </c>
      <c r="AD21" s="157">
        <f t="shared" si="1"/>
        <v>3.2033787500000002</v>
      </c>
      <c r="AE21" s="157">
        <f>AD21*'Données environnement'!AV$251*'Données environnement'!J$36</f>
        <v>0</v>
      </c>
      <c r="AF21" s="157">
        <f>AB21*AC21/1000*'Données environnement'!$J$28*'Données environnement'!$J$74</f>
        <v>0.13481012303350295</v>
      </c>
      <c r="AG21" s="157">
        <f>AA21*'Données environnement'!AZ$251*'Données environnement'!$J$31</f>
        <v>0.29845879813750004</v>
      </c>
      <c r="AH21" s="216"/>
      <c r="AI21" s="209">
        <f>(AA21-(AG21/'Données environnement'!$J$31))*0.4*0.525*'Données environnement'!J$31</f>
        <v>0.50710863065362499</v>
      </c>
      <c r="AJ21" s="216"/>
      <c r="AK21" s="208">
        <f>(I21+AF21+U21+Y21)*'Données environnement'!$J$12</f>
        <v>55.115773475339523</v>
      </c>
      <c r="AL21" s="223">
        <f>(H21+T21+X21+AE21)*'Données environnement'!$J$14</f>
        <v>1.0306871128124999</v>
      </c>
      <c r="AM21" s="223">
        <f>((K21+V21+Z21+AG21+AI21)*14/17*'Données environnement'!$J$15*44/28)*'Données environnement'!$J$14</f>
        <v>4.4346507191732325</v>
      </c>
      <c r="AN21" s="208">
        <f t="shared" si="4"/>
        <v>60.581111307325259</v>
      </c>
      <c r="AO21" s="214"/>
      <c r="AP21" s="214"/>
      <c r="AQ21" s="157"/>
      <c r="AR21" s="157"/>
      <c r="AS21" s="157"/>
      <c r="AT21" s="157"/>
      <c r="AU21" s="157"/>
      <c r="AV21" s="157"/>
      <c r="AW21" s="157"/>
      <c r="AX21" s="157"/>
      <c r="AY21" s="157"/>
      <c r="AZ21" s="157"/>
      <c r="BA21" s="157"/>
    </row>
    <row r="22" spans="1:53" x14ac:dyDescent="0.35">
      <c r="A22" s="20" t="s">
        <v>745</v>
      </c>
      <c r="C22" s="10" t="s">
        <v>10</v>
      </c>
      <c r="D22" s="157">
        <v>36.5</v>
      </c>
      <c r="E22" s="157">
        <f>'Données environnement'!$H$297</f>
        <v>3.5750000000000002</v>
      </c>
      <c r="F22" s="204">
        <v>450</v>
      </c>
      <c r="G22" s="157">
        <f>'Données environnement'!$I$297</f>
        <v>2.5024999999999999</v>
      </c>
      <c r="H22" s="157">
        <v>0</v>
      </c>
      <c r="I22" s="157">
        <f>0.001*D22*F22/1000*'Données environnement'!$J$28 + 1.5</f>
        <v>1.5110047499999999</v>
      </c>
      <c r="J22" s="157">
        <f>'Données environnement'!E$97/'Données environnement'!E$96*I22/'Données environnement'!J$28*'Données environnement'!J$29</f>
        <v>2.8115212761194033</v>
      </c>
      <c r="K22" s="157">
        <f>'Données environnement'!K$254*G22*'Données environnement'!J$31*0.55</f>
        <v>0.44966171250000003</v>
      </c>
      <c r="L22" s="157">
        <f>G22-K22/'Données environnement'!$J$31</f>
        <v>2.1308787499999999</v>
      </c>
      <c r="M22" s="41">
        <v>389</v>
      </c>
      <c r="N22" s="157">
        <f t="shared" si="0"/>
        <v>31.727812261380603</v>
      </c>
      <c r="O22" s="157">
        <f>E22-(' Calcul simpl porc'!H22/'Données environnement'!$J$36 + ' Calcul simpl porc'!K22/'Données environnement'!$J$31)</f>
        <v>3.2033787500000002</v>
      </c>
      <c r="P22" s="118" t="s">
        <v>732</v>
      </c>
      <c r="Q22" s="174">
        <f>M22/1000*N22*'Données Production '!$B$30</f>
        <v>12.342118969677054</v>
      </c>
      <c r="R22" s="174">
        <f>Q22/'Données environnement'!$E$96*'Données environnement'!$E$97</f>
        <v>8.2280793131180356</v>
      </c>
      <c r="S22" s="174">
        <f t="shared" si="2"/>
        <v>20.57019828279509</v>
      </c>
      <c r="T22" s="161">
        <f>O22*'Données environnement'!$J$49*44/28*('Données environnement'!$J$47)</f>
        <v>1.2584702232142858E-3</v>
      </c>
      <c r="U22" s="161">
        <f>Q22*'Données environnement'!$J$28*('Données environnement'!$J$47)+S22*'Données environnement'!$AF$254*'Données environnement'!$J$58</f>
        <v>0.4146417148656138</v>
      </c>
      <c r="V22" s="157"/>
      <c r="W22" t="s">
        <v>733</v>
      </c>
      <c r="X22" s="157"/>
      <c r="Y22" s="157">
        <f>S22*(1-'Données environnement'!$J$58-'Données environnement'!$J$47)*'Données environnement'!$AQ$253*'Données environnement'!J28</f>
        <v>9.5975871638472026E-3</v>
      </c>
      <c r="Z22" s="157"/>
      <c r="AA22" s="30">
        <f>AD22*'Données environnement'!$J$77</f>
        <v>2.2423651250000001</v>
      </c>
      <c r="AB22" s="41">
        <f t="shared" si="3"/>
        <v>389</v>
      </c>
      <c r="AC22" s="157">
        <f>N22-(Q22/'Données environnement'!$J$33*'Données environnement'!$J$28+' Calcul simpl porc'!R22/'Données environnement'!$J$32*'Données environnement'!$J$29)-' Calcul simpl porc'!Q22/'Données environnement'!$J$34*'Données environnement'!$J$28-' Calcul simpl porc'!R22/'Données environnement'!$J$35*'Données environnement'!$J$29</f>
        <v>8.0720842361662477</v>
      </c>
      <c r="AD22" s="157">
        <f t="shared" si="1"/>
        <v>3.2033787500000002</v>
      </c>
      <c r="AE22" s="157">
        <f>AD22*'Données environnement'!AV$251*'Données environnement'!J$36</f>
        <v>0</v>
      </c>
      <c r="AF22" s="157">
        <f>AB22*AC22/1000*'Données environnement'!$J$28*'Données environnement'!$J$74</f>
        <v>4.3759608141017786E-2</v>
      </c>
      <c r="AG22" s="157">
        <f>AA22*'Données environnement'!AZ$251*'Données environnement'!$J$31</f>
        <v>0.29845879813750004</v>
      </c>
      <c r="AH22" s="216"/>
      <c r="AI22" s="209">
        <f>(AA22-(AG22/'Données environnement'!$J$31))*0.4*0.525*'Données environnement'!J$31</f>
        <v>0.50710863065362499</v>
      </c>
      <c r="AJ22" s="216"/>
      <c r="AK22" s="208">
        <f>(I22+AF22+U22+Y22)*'Données environnement'!$J$12</f>
        <v>53.828899556637019</v>
      </c>
      <c r="AL22" s="223">
        <f>(H22+T22+X22+AE22)*'Données environnement'!$J$14</f>
        <v>0.34356237093750003</v>
      </c>
      <c r="AM22" s="223">
        <f>((K22+V22+Z22+AG22+AI22)*14/17*'Données environnement'!$J$15*44/28)*'Données environnement'!$J$14</f>
        <v>4.4346507191732325</v>
      </c>
      <c r="AN22" s="208">
        <f t="shared" si="4"/>
        <v>58.607112646747751</v>
      </c>
      <c r="AO22" s="214"/>
      <c r="AP22" s="214"/>
      <c r="AQ22" s="157"/>
      <c r="AR22" s="157"/>
      <c r="AS22" s="157"/>
      <c r="AT22" s="157"/>
      <c r="AU22" s="157"/>
      <c r="AV22" s="157"/>
      <c r="AW22" s="157"/>
      <c r="AX22" s="157"/>
      <c r="AY22" s="157"/>
      <c r="AZ22" s="157"/>
      <c r="BA22" s="157"/>
    </row>
    <row r="23" spans="1:53" x14ac:dyDescent="0.35">
      <c r="AK23" s="224"/>
      <c r="AL23" s="224"/>
      <c r="AM23" s="224"/>
      <c r="AN23" s="224"/>
      <c r="AO23" s="224"/>
      <c r="AP23" s="224"/>
    </row>
    <row r="25" spans="1:53" x14ac:dyDescent="0.35">
      <c r="C25" s="41"/>
      <c r="D25" s="41"/>
      <c r="E25" s="41"/>
      <c r="F25" s="41"/>
      <c r="H25" s="190"/>
      <c r="I25" s="190"/>
      <c r="J25" s="190"/>
      <c r="K25" s="190"/>
      <c r="L25" s="190"/>
      <c r="M25" s="190"/>
      <c r="N25" s="190"/>
      <c r="O25" s="190"/>
      <c r="P25" s="190"/>
      <c r="Q25" s="190"/>
      <c r="R25" s="190"/>
      <c r="S25" s="190"/>
      <c r="T25" s="190"/>
      <c r="U25" s="190"/>
      <c r="V25" s="190"/>
      <c r="W25" s="190"/>
      <c r="X25" s="190"/>
      <c r="Y25" s="190"/>
      <c r="Z25" s="190"/>
      <c r="AA25" s="190"/>
      <c r="AB25" s="190"/>
      <c r="AC25" s="190"/>
      <c r="AD25" s="190"/>
      <c r="AE25" s="190"/>
      <c r="AF25" s="190"/>
      <c r="AG25" s="190"/>
      <c r="AH25" s="190"/>
      <c r="AI25" s="190"/>
      <c r="AJ25" s="190"/>
      <c r="AK25" s="190"/>
      <c r="AL25" s="190"/>
      <c r="AM25" s="190"/>
      <c r="AN25" s="190"/>
      <c r="AP25" s="199"/>
    </row>
    <row r="26" spans="1:53" x14ac:dyDescent="0.35">
      <c r="C26" s="16"/>
      <c r="H26" s="221"/>
      <c r="I26" s="221"/>
      <c r="J26" s="221"/>
      <c r="K26" s="221"/>
      <c r="L26" s="221"/>
      <c r="M26" s="221"/>
      <c r="N26" s="221"/>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1"/>
      <c r="AL26" s="221"/>
      <c r="AM26" s="221"/>
      <c r="AN26" s="221"/>
      <c r="AP26" s="199"/>
    </row>
    <row r="27" spans="1:53" x14ac:dyDescent="0.35">
      <c r="C27" s="147"/>
      <c r="D27" s="147"/>
      <c r="E27" s="147"/>
      <c r="F27" s="147"/>
      <c r="H27" s="221"/>
      <c r="I27" s="221"/>
      <c r="J27" s="221"/>
      <c r="K27" s="221"/>
      <c r="L27" s="221"/>
      <c r="M27" s="221"/>
      <c r="N27" s="221"/>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1"/>
      <c r="AL27" s="221"/>
      <c r="AM27" s="221"/>
      <c r="AN27" s="221"/>
      <c r="AP27" s="199"/>
    </row>
    <row r="28" spans="1:53" x14ac:dyDescent="0.35">
      <c r="C28" s="147"/>
      <c r="D28" s="147"/>
      <c r="E28" s="147"/>
      <c r="F28" s="147"/>
      <c r="H28" s="221"/>
      <c r="I28" s="221"/>
      <c r="J28" s="221"/>
      <c r="K28" s="221"/>
      <c r="L28" s="221"/>
      <c r="M28" s="221"/>
      <c r="N28" s="221"/>
      <c r="O28" s="221"/>
      <c r="P28" s="221"/>
      <c r="Q28" s="221"/>
      <c r="R28" s="221"/>
      <c r="S28" s="221"/>
      <c r="T28" s="221"/>
      <c r="U28" s="221"/>
      <c r="V28" s="221"/>
      <c r="W28" s="221"/>
      <c r="X28" s="221"/>
      <c r="Y28" s="221"/>
      <c r="Z28" s="221"/>
      <c r="AA28" s="221"/>
      <c r="AB28" s="221"/>
      <c r="AC28" s="221"/>
      <c r="AD28" s="221"/>
      <c r="AE28" s="221"/>
      <c r="AF28" s="221"/>
      <c r="AG28" s="221"/>
      <c r="AH28" s="221"/>
      <c r="AI28" s="221"/>
      <c r="AJ28" s="221"/>
      <c r="AK28" s="221"/>
      <c r="AL28" s="221"/>
      <c r="AM28" s="221"/>
      <c r="AN28" s="221"/>
      <c r="AP28" s="199"/>
    </row>
    <row r="29" spans="1:53" x14ac:dyDescent="0.35">
      <c r="C29" s="147"/>
      <c r="D29" s="147"/>
      <c r="E29" s="147"/>
      <c r="F29" s="147"/>
      <c r="H29" s="221"/>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row>
    <row r="30" spans="1:53" x14ac:dyDescent="0.35">
      <c r="C30" s="200"/>
      <c r="D30" s="200"/>
      <c r="E30" s="200"/>
      <c r="F30" s="200"/>
      <c r="L30" s="200"/>
      <c r="M30" s="200"/>
      <c r="N30" s="200"/>
      <c r="O30" s="200"/>
      <c r="P30" s="200"/>
      <c r="Q30" s="200"/>
      <c r="R30" s="200"/>
      <c r="S30" s="200"/>
      <c r="T30" s="200"/>
      <c r="U30" s="200"/>
      <c r="V30" s="200"/>
      <c r="W30" s="200"/>
      <c r="X30" s="200"/>
      <c r="Y30" s="200"/>
      <c r="Z30" s="200"/>
      <c r="AA30" s="200"/>
      <c r="AB30" s="200"/>
      <c r="AC30" s="200"/>
      <c r="AD30" s="200"/>
      <c r="AE30" s="200"/>
      <c r="AF30" s="200"/>
      <c r="AG30" s="200"/>
      <c r="AH30" s="200"/>
      <c r="AI30" s="200"/>
      <c r="AJ30" s="200"/>
      <c r="AK30" s="222"/>
      <c r="AL30" s="222"/>
      <c r="AM30" s="222"/>
      <c r="AN30" s="222"/>
    </row>
    <row r="31" spans="1:53" x14ac:dyDescent="0.35">
      <c r="C31" s="16"/>
      <c r="AK31" s="221"/>
      <c r="AL31" s="221"/>
      <c r="AM31" s="221"/>
      <c r="AN31" s="221"/>
    </row>
    <row r="32" spans="1:53" x14ac:dyDescent="0.35">
      <c r="AK32" s="221"/>
      <c r="AL32" s="221"/>
      <c r="AM32" s="221"/>
      <c r="AN32" s="221"/>
    </row>
    <row r="38" spans="8:11" x14ac:dyDescent="0.35">
      <c r="H38" s="219"/>
      <c r="I38" s="219"/>
      <c r="J38" s="219"/>
      <c r="K38" s="219"/>
    </row>
    <row r="39" spans="8:11" x14ac:dyDescent="0.35">
      <c r="H39" s="174"/>
      <c r="I39" s="219"/>
      <c r="J39" s="219"/>
      <c r="K39" s="174"/>
    </row>
    <row r="40" spans="8:11" x14ac:dyDescent="0.35">
      <c r="H40" s="174"/>
      <c r="I40" s="219"/>
      <c r="J40" s="219"/>
      <c r="K40" s="174"/>
    </row>
    <row r="41" spans="8:11" x14ac:dyDescent="0.35">
      <c r="H41" s="174"/>
      <c r="I41" s="219"/>
      <c r="J41" s="219"/>
      <c r="K41" s="174"/>
    </row>
    <row r="42" spans="8:11" x14ac:dyDescent="0.35">
      <c r="H42" s="220"/>
      <c r="I42" s="220"/>
      <c r="J42" s="220"/>
      <c r="K42" s="199"/>
    </row>
    <row r="43" spans="8:11" x14ac:dyDescent="0.35">
      <c r="H43" s="174"/>
      <c r="I43" s="174"/>
      <c r="J43" s="174"/>
      <c r="K43" s="219"/>
    </row>
    <row r="44" spans="8:11" x14ac:dyDescent="0.35">
      <c r="H44" s="174"/>
      <c r="I44" s="174"/>
      <c r="J44" s="174"/>
      <c r="K44" s="219"/>
    </row>
    <row r="45" spans="8:11" x14ac:dyDescent="0.35">
      <c r="H45" s="174"/>
      <c r="I45" s="174"/>
      <c r="J45" s="174"/>
      <c r="K45" s="219"/>
    </row>
    <row r="46" spans="8:11" x14ac:dyDescent="0.35">
      <c r="H46" s="219"/>
      <c r="I46" s="219"/>
      <c r="J46" s="219"/>
      <c r="K46" s="219"/>
    </row>
    <row r="47" spans="8:11" x14ac:dyDescent="0.35">
      <c r="H47" s="219"/>
      <c r="I47" s="219"/>
      <c r="J47" s="219"/>
      <c r="K47" s="219"/>
    </row>
    <row r="48" spans="8:11" x14ac:dyDescent="0.35">
      <c r="H48" s="219"/>
      <c r="I48" s="219"/>
      <c r="J48" s="219"/>
      <c r="K48" s="219"/>
    </row>
    <row r="49" spans="8:11" x14ac:dyDescent="0.35">
      <c r="H49" s="219"/>
      <c r="I49" s="219"/>
      <c r="J49" s="219"/>
      <c r="K49" s="219"/>
    </row>
    <row r="50" spans="8:11" x14ac:dyDescent="0.35">
      <c r="H50" s="219"/>
      <c r="I50" s="219"/>
      <c r="J50" s="219"/>
      <c r="K50" s="219"/>
    </row>
  </sheetData>
  <mergeCells count="23">
    <mergeCell ref="AT5:AW5"/>
    <mergeCell ref="AX5:BA5"/>
    <mergeCell ref="T6:V6"/>
    <mergeCell ref="AE6:AG6"/>
    <mergeCell ref="X5:Z5"/>
    <mergeCell ref="AA5:AD5"/>
    <mergeCell ref="AE5:AG5"/>
    <mergeCell ref="D5:G5"/>
    <mergeCell ref="H5:K5"/>
    <mergeCell ref="L5:O5"/>
    <mergeCell ref="T5:V5"/>
    <mergeCell ref="AQ4:AS4"/>
    <mergeCell ref="AQ5:AS5"/>
    <mergeCell ref="A1:AP1"/>
    <mergeCell ref="AQ2:BA2"/>
    <mergeCell ref="D4:K4"/>
    <mergeCell ref="L4:O4"/>
    <mergeCell ref="P4:V4"/>
    <mergeCell ref="W4:Z4"/>
    <mergeCell ref="AA4:AG4"/>
    <mergeCell ref="AH4:AJ4"/>
    <mergeCell ref="AT4:AW4"/>
    <mergeCell ref="AX4:BA4"/>
  </mergeCell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BK307"/>
  <sheetViews>
    <sheetView topLeftCell="F1" zoomScale="80" zoomScaleNormal="80" workbookViewId="0">
      <selection activeCell="J15" sqref="J15"/>
    </sheetView>
  </sheetViews>
  <sheetFormatPr baseColWidth="10" defaultColWidth="11.54296875" defaultRowHeight="14.5" x14ac:dyDescent="0.35"/>
  <cols>
    <col min="1" max="1" width="21.26953125" customWidth="1"/>
    <col min="2" max="2" width="65.26953125" customWidth="1"/>
    <col min="3" max="3" width="62.7265625" customWidth="1"/>
    <col min="4" max="4" width="44" customWidth="1"/>
    <col min="5" max="5" width="30.7265625" customWidth="1"/>
    <col min="6" max="6" width="61.26953125" customWidth="1"/>
    <col min="7" max="7" width="67.54296875" customWidth="1"/>
    <col min="8" max="8" width="54.1796875" customWidth="1"/>
    <col min="9" max="9" width="49.1796875" customWidth="1"/>
    <col min="10" max="10" width="32.453125" customWidth="1"/>
    <col min="11" max="11" width="27.81640625" customWidth="1"/>
    <col min="12" max="12" width="43.7265625" customWidth="1"/>
    <col min="13" max="13" width="25.7265625" customWidth="1"/>
    <col min="14" max="14" width="44.7265625" customWidth="1"/>
    <col min="15" max="15" width="118.1796875" customWidth="1"/>
    <col min="16" max="16" width="24.7265625" customWidth="1"/>
    <col min="17" max="17" width="58.81640625" customWidth="1"/>
    <col min="19" max="19" width="19.7265625" customWidth="1"/>
    <col min="20" max="20" width="16.54296875" customWidth="1"/>
    <col min="21" max="21" width="19.1796875" customWidth="1"/>
    <col min="22" max="22" width="16" customWidth="1"/>
    <col min="23" max="23" width="53" customWidth="1"/>
    <col min="24" max="24" width="13.1796875" customWidth="1"/>
    <col min="26" max="26" width="32.7265625" customWidth="1"/>
    <col min="27" max="27" width="37.26953125" customWidth="1"/>
    <col min="29" max="29" width="76.54296875" customWidth="1"/>
    <col min="30" max="30" width="16.26953125" customWidth="1"/>
    <col min="31" max="31" width="75.1796875" customWidth="1"/>
    <col min="32" max="32" width="21.7265625" customWidth="1"/>
    <col min="33" max="33" width="36.7265625" customWidth="1"/>
    <col min="34" max="34" width="13.26953125" customWidth="1"/>
    <col min="35" max="35" width="17.7265625" customWidth="1"/>
    <col min="36" max="36" width="14.81640625" customWidth="1"/>
    <col min="37" max="37" width="13.7265625" customWidth="1"/>
    <col min="38" max="38" width="44.26953125" customWidth="1"/>
    <col min="39" max="39" width="18.453125" customWidth="1"/>
    <col min="40" max="40" width="119.54296875" customWidth="1"/>
    <col min="41" max="41" width="16.26953125" customWidth="1"/>
    <col min="42" max="42" width="57.26953125" customWidth="1"/>
    <col min="43" max="43" width="17.1796875" customWidth="1"/>
    <col min="44" max="44" width="17.26953125" customWidth="1"/>
    <col min="45" max="52" width="16" customWidth="1"/>
    <col min="53" max="53" width="13.7265625" customWidth="1"/>
    <col min="54" max="54" width="14.7265625" customWidth="1"/>
    <col min="55" max="55" width="12.54296875" customWidth="1"/>
    <col min="61" max="61" width="13.81640625" customWidth="1"/>
    <col min="62" max="62" width="49.26953125" customWidth="1"/>
    <col min="63" max="63" width="40.54296875" customWidth="1"/>
  </cols>
  <sheetData>
    <row r="2" spans="2:12" ht="26" x14ac:dyDescent="0.6">
      <c r="B2" s="388" t="s">
        <v>84</v>
      </c>
      <c r="C2" s="388"/>
      <c r="D2" s="388"/>
      <c r="E2" s="388"/>
      <c r="F2" s="388"/>
      <c r="G2" s="388"/>
      <c r="H2" s="388"/>
      <c r="I2" s="388"/>
      <c r="J2" s="388"/>
      <c r="K2" s="388"/>
      <c r="L2" s="388"/>
    </row>
    <row r="3" spans="2:12" x14ac:dyDescent="0.35">
      <c r="B3" s="351" t="s">
        <v>85</v>
      </c>
      <c r="C3" s="351"/>
      <c r="D3" t="s">
        <v>86</v>
      </c>
      <c r="E3" t="s">
        <v>87</v>
      </c>
      <c r="H3" t="s">
        <v>85</v>
      </c>
      <c r="I3" t="s">
        <v>88</v>
      </c>
      <c r="J3" t="s">
        <v>89</v>
      </c>
    </row>
    <row r="4" spans="2:12" x14ac:dyDescent="0.35">
      <c r="C4" t="s">
        <v>90</v>
      </c>
      <c r="D4" t="s">
        <v>91</v>
      </c>
      <c r="E4">
        <v>264</v>
      </c>
    </row>
    <row r="5" spans="2:12" x14ac:dyDescent="0.35">
      <c r="B5" s="384" t="s">
        <v>92</v>
      </c>
      <c r="C5" s="384"/>
      <c r="D5" s="384"/>
      <c r="E5" s="384"/>
      <c r="F5" s="384"/>
      <c r="G5" s="389" t="s">
        <v>93</v>
      </c>
      <c r="H5" s="389"/>
      <c r="I5" s="389"/>
      <c r="J5" s="389"/>
    </row>
    <row r="6" spans="2:12" x14ac:dyDescent="0.35">
      <c r="B6" t="s">
        <v>94</v>
      </c>
      <c r="G6" t="s">
        <v>95</v>
      </c>
      <c r="H6" t="s">
        <v>96</v>
      </c>
      <c r="I6" t="s">
        <v>97</v>
      </c>
      <c r="J6">
        <v>2.52</v>
      </c>
    </row>
    <row r="7" spans="2:12" x14ac:dyDescent="0.35">
      <c r="C7" t="s">
        <v>82</v>
      </c>
      <c r="D7" t="s">
        <v>98</v>
      </c>
      <c r="E7" t="e">
        <f>#REF!</f>
        <v>#REF!</v>
      </c>
      <c r="H7" t="s">
        <v>99</v>
      </c>
      <c r="I7" t="s">
        <v>100</v>
      </c>
    </row>
    <row r="8" spans="2:12" x14ac:dyDescent="0.35">
      <c r="C8" t="s">
        <v>101</v>
      </c>
      <c r="D8" t="s">
        <v>98</v>
      </c>
      <c r="H8" t="s">
        <v>102</v>
      </c>
      <c r="I8" t="s">
        <v>103</v>
      </c>
      <c r="J8">
        <v>85</v>
      </c>
    </row>
    <row r="9" spans="2:12" x14ac:dyDescent="0.35">
      <c r="C9" t="s">
        <v>104</v>
      </c>
      <c r="D9" t="s">
        <v>98</v>
      </c>
      <c r="E9">
        <f>'Données Production '!K14*365</f>
        <v>0</v>
      </c>
      <c r="G9" t="s">
        <v>105</v>
      </c>
      <c r="H9" t="s">
        <v>106</v>
      </c>
      <c r="I9" t="s">
        <v>107</v>
      </c>
      <c r="J9">
        <v>80</v>
      </c>
    </row>
    <row r="10" spans="2:12" x14ac:dyDescent="0.35">
      <c r="B10" t="s">
        <v>108</v>
      </c>
      <c r="H10" t="s">
        <v>109</v>
      </c>
      <c r="I10" t="s">
        <v>110</v>
      </c>
      <c r="J10">
        <v>4.51</v>
      </c>
    </row>
    <row r="11" spans="2:12" x14ac:dyDescent="0.35">
      <c r="C11" t="s">
        <v>82</v>
      </c>
      <c r="D11" t="s">
        <v>98</v>
      </c>
      <c r="E11" t="e">
        <f>E7*'Données Production '!#REF!</f>
        <v>#REF!</v>
      </c>
      <c r="H11" t="s">
        <v>111</v>
      </c>
      <c r="I11" t="s">
        <v>112</v>
      </c>
      <c r="J11">
        <v>2.5000000000000001E-2</v>
      </c>
    </row>
    <row r="12" spans="2:12" x14ac:dyDescent="0.35">
      <c r="B12" t="s">
        <v>113</v>
      </c>
      <c r="C12" t="s">
        <v>81</v>
      </c>
      <c r="D12" t="s">
        <v>114</v>
      </c>
      <c r="E12">
        <v>264</v>
      </c>
      <c r="H12" t="s">
        <v>115</v>
      </c>
      <c r="I12" t="s">
        <v>116</v>
      </c>
      <c r="J12">
        <v>27.2</v>
      </c>
    </row>
    <row r="13" spans="2:12" x14ac:dyDescent="0.35">
      <c r="B13" t="s">
        <v>117</v>
      </c>
      <c r="C13" t="s">
        <v>81</v>
      </c>
      <c r="D13" t="s">
        <v>118</v>
      </c>
      <c r="E13">
        <v>6.4</v>
      </c>
      <c r="H13" t="s">
        <v>119</v>
      </c>
      <c r="I13" t="s">
        <v>120</v>
      </c>
      <c r="J13">
        <v>2.4E-2</v>
      </c>
    </row>
    <row r="14" spans="2:12" x14ac:dyDescent="0.35">
      <c r="C14" t="s">
        <v>101</v>
      </c>
      <c r="H14" t="s">
        <v>121</v>
      </c>
      <c r="I14" t="s">
        <v>122</v>
      </c>
      <c r="J14">
        <v>273</v>
      </c>
    </row>
    <row r="15" spans="2:12" x14ac:dyDescent="0.35">
      <c r="H15" t="s">
        <v>123</v>
      </c>
      <c r="I15" t="s">
        <v>124</v>
      </c>
      <c r="J15">
        <v>0.01</v>
      </c>
    </row>
    <row r="16" spans="2:12" x14ac:dyDescent="0.35">
      <c r="C16" t="s">
        <v>104</v>
      </c>
      <c r="D16" t="s">
        <v>98</v>
      </c>
      <c r="E16" t="e">
        <f>E9*'Données Production '!#REF!</f>
        <v>#REF!</v>
      </c>
      <c r="H16" t="s">
        <v>125</v>
      </c>
      <c r="I16" t="s">
        <v>107</v>
      </c>
      <c r="J16">
        <v>30</v>
      </c>
    </row>
    <row r="17" spans="2:10" x14ac:dyDescent="0.35">
      <c r="B17" t="s">
        <v>126</v>
      </c>
      <c r="H17" t="s">
        <v>127</v>
      </c>
      <c r="I17" t="s">
        <v>128</v>
      </c>
      <c r="J17">
        <v>1.45</v>
      </c>
    </row>
    <row r="18" spans="2:10" x14ac:dyDescent="0.35">
      <c r="C18" t="s">
        <v>82</v>
      </c>
      <c r="H18" t="s">
        <v>129</v>
      </c>
      <c r="I18" t="s">
        <v>107</v>
      </c>
      <c r="J18">
        <v>50</v>
      </c>
    </row>
    <row r="19" spans="2:10" x14ac:dyDescent="0.35">
      <c r="C19" t="s">
        <v>101</v>
      </c>
      <c r="H19" t="s">
        <v>130</v>
      </c>
      <c r="I19" t="s">
        <v>131</v>
      </c>
      <c r="J19">
        <v>0.71</v>
      </c>
    </row>
    <row r="20" spans="2:10" x14ac:dyDescent="0.35">
      <c r="C20" t="s">
        <v>104</v>
      </c>
      <c r="H20" t="s">
        <v>132</v>
      </c>
      <c r="I20" t="s">
        <v>133</v>
      </c>
      <c r="J20" t="s">
        <v>134</v>
      </c>
    </row>
    <row r="21" spans="2:10" x14ac:dyDescent="0.35">
      <c r="B21" t="s">
        <v>135</v>
      </c>
      <c r="D21" t="s">
        <v>136</v>
      </c>
      <c r="E21">
        <v>0.45</v>
      </c>
      <c r="F21" t="s">
        <v>137</v>
      </c>
      <c r="H21" t="s">
        <v>138</v>
      </c>
      <c r="I21" t="s">
        <v>139</v>
      </c>
      <c r="J21">
        <v>3.67</v>
      </c>
    </row>
    <row r="22" spans="2:10" x14ac:dyDescent="0.35">
      <c r="B22" t="s">
        <v>140</v>
      </c>
      <c r="G22" t="s">
        <v>141</v>
      </c>
      <c r="H22" t="s">
        <v>142</v>
      </c>
      <c r="I22" t="s">
        <v>143</v>
      </c>
      <c r="J22">
        <v>7</v>
      </c>
    </row>
    <row r="23" spans="2:10" x14ac:dyDescent="0.35">
      <c r="B23" t="s">
        <v>144</v>
      </c>
      <c r="C23" t="s">
        <v>145</v>
      </c>
      <c r="D23" t="s">
        <v>146</v>
      </c>
      <c r="E23">
        <v>0.2</v>
      </c>
      <c r="H23" t="s">
        <v>147</v>
      </c>
      <c r="I23" t="s">
        <v>148</v>
      </c>
    </row>
    <row r="24" spans="2:10" x14ac:dyDescent="0.35">
      <c r="C24" t="s">
        <v>149</v>
      </c>
      <c r="D24" t="s">
        <v>146</v>
      </c>
      <c r="E24">
        <v>0.2</v>
      </c>
      <c r="H24" t="s">
        <v>150</v>
      </c>
      <c r="I24" t="s">
        <v>151</v>
      </c>
      <c r="J24">
        <v>0.35599999999999998</v>
      </c>
    </row>
    <row r="25" spans="2:10" x14ac:dyDescent="0.35">
      <c r="C25" t="s">
        <v>152</v>
      </c>
      <c r="D25" t="s">
        <v>146</v>
      </c>
      <c r="E25">
        <v>0.02</v>
      </c>
      <c r="H25" t="s">
        <v>153</v>
      </c>
      <c r="I25" t="s">
        <v>154</v>
      </c>
      <c r="J25">
        <v>3.3</v>
      </c>
    </row>
    <row r="26" spans="2:10" x14ac:dyDescent="0.35">
      <c r="H26" t="s">
        <v>155</v>
      </c>
      <c r="I26" t="s">
        <v>156</v>
      </c>
      <c r="J26">
        <v>0.443</v>
      </c>
    </row>
    <row r="27" spans="2:10" x14ac:dyDescent="0.35">
      <c r="C27" t="s">
        <v>157</v>
      </c>
      <c r="D27" t="s">
        <v>146</v>
      </c>
      <c r="E27" t="s">
        <v>158</v>
      </c>
      <c r="H27" t="s">
        <v>159</v>
      </c>
      <c r="I27" t="s">
        <v>156</v>
      </c>
      <c r="J27">
        <v>9.1999999999999998E-2</v>
      </c>
    </row>
    <row r="28" spans="2:10" x14ac:dyDescent="0.35">
      <c r="B28" t="s">
        <v>160</v>
      </c>
      <c r="C28" t="s">
        <v>161</v>
      </c>
      <c r="D28" t="s">
        <v>162</v>
      </c>
      <c r="E28">
        <v>1.8499999999999999E-2</v>
      </c>
      <c r="H28" s="18" t="s">
        <v>163</v>
      </c>
      <c r="I28" t="s">
        <v>164</v>
      </c>
      <c r="J28">
        <v>0.67</v>
      </c>
    </row>
    <row r="29" spans="2:10" x14ac:dyDescent="0.35">
      <c r="H29" s="18" t="s">
        <v>165</v>
      </c>
      <c r="I29" t="s">
        <v>164</v>
      </c>
      <c r="J29">
        <v>1.87</v>
      </c>
    </row>
    <row r="30" spans="2:10" x14ac:dyDescent="0.35">
      <c r="C30" t="s">
        <v>166</v>
      </c>
      <c r="D30" t="s">
        <v>162</v>
      </c>
      <c r="E30">
        <v>1.21E-2</v>
      </c>
      <c r="G30" t="s">
        <v>167</v>
      </c>
      <c r="H30" s="18" t="s">
        <v>168</v>
      </c>
      <c r="I30" s="18" t="s">
        <v>169</v>
      </c>
      <c r="J30">
        <v>0</v>
      </c>
    </row>
    <row r="31" spans="2:10" x14ac:dyDescent="0.35">
      <c r="B31" t="s">
        <v>68</v>
      </c>
      <c r="C31" t="s">
        <v>170</v>
      </c>
      <c r="D31" t="s">
        <v>171</v>
      </c>
      <c r="E31">
        <v>0.06</v>
      </c>
      <c r="H31" s="18" t="s">
        <v>172</v>
      </c>
      <c r="I31" s="18"/>
      <c r="J31">
        <v>1.21</v>
      </c>
    </row>
    <row r="32" spans="2:10" x14ac:dyDescent="0.35">
      <c r="H32" s="18" t="s">
        <v>173</v>
      </c>
      <c r="I32" s="18"/>
      <c r="J32">
        <f>44/12</f>
        <v>3.6666666666666665</v>
      </c>
    </row>
    <row r="33" spans="2:10" x14ac:dyDescent="0.35">
      <c r="H33" s="18" t="s">
        <v>174</v>
      </c>
      <c r="I33" s="18"/>
      <c r="J33" s="45">
        <f>16/12</f>
        <v>1.3333333333333333</v>
      </c>
    </row>
    <row r="34" spans="2:10" x14ac:dyDescent="0.35">
      <c r="H34" s="18" t="s">
        <v>175</v>
      </c>
      <c r="I34" s="18" t="s">
        <v>176</v>
      </c>
      <c r="J34" s="45">
        <f>16/4</f>
        <v>4</v>
      </c>
    </row>
    <row r="35" spans="2:10" x14ac:dyDescent="0.35">
      <c r="H35" s="18" t="s">
        <v>177</v>
      </c>
      <c r="I35" s="18" t="s">
        <v>178</v>
      </c>
      <c r="J35" s="45">
        <f>44/32</f>
        <v>1.375</v>
      </c>
    </row>
    <row r="36" spans="2:10" x14ac:dyDescent="0.35">
      <c r="H36" s="18" t="s">
        <v>179</v>
      </c>
      <c r="J36">
        <v>1.57</v>
      </c>
    </row>
    <row r="37" spans="2:10" x14ac:dyDescent="0.35">
      <c r="H37" s="18" t="s">
        <v>180</v>
      </c>
      <c r="J37">
        <v>0.5</v>
      </c>
    </row>
    <row r="38" spans="2:10" x14ac:dyDescent="0.35">
      <c r="H38" s="18" t="s">
        <v>181</v>
      </c>
      <c r="I38" t="s">
        <v>182</v>
      </c>
      <c r="J38">
        <v>0.37</v>
      </c>
    </row>
    <row r="39" spans="2:10" x14ac:dyDescent="0.35">
      <c r="H39" s="18" t="s">
        <v>183</v>
      </c>
      <c r="I39" t="s">
        <v>182</v>
      </c>
      <c r="J39">
        <v>0.28999999999999998</v>
      </c>
    </row>
    <row r="40" spans="2:10" x14ac:dyDescent="0.35">
      <c r="H40" s="18" t="s">
        <v>184</v>
      </c>
      <c r="I40" t="s">
        <v>185</v>
      </c>
      <c r="J40">
        <v>0.11</v>
      </c>
    </row>
    <row r="41" spans="2:10" x14ac:dyDescent="0.35">
      <c r="H41" s="18" t="s">
        <v>186</v>
      </c>
      <c r="I41" t="s">
        <v>187</v>
      </c>
      <c r="J41">
        <v>6.7</v>
      </c>
    </row>
    <row r="42" spans="2:10" x14ac:dyDescent="0.35">
      <c r="B42" t="s">
        <v>188</v>
      </c>
      <c r="C42" t="s">
        <v>189</v>
      </c>
      <c r="D42" t="s">
        <v>190</v>
      </c>
      <c r="E42">
        <v>5.7000000000000002E-2</v>
      </c>
      <c r="H42" s="18" t="s">
        <v>191</v>
      </c>
      <c r="I42" t="s">
        <v>192</v>
      </c>
      <c r="J42">
        <v>0.878</v>
      </c>
    </row>
    <row r="43" spans="2:10" x14ac:dyDescent="0.35">
      <c r="B43" t="s">
        <v>193</v>
      </c>
      <c r="H43" t="s">
        <v>194</v>
      </c>
      <c r="I43" t="s">
        <v>195</v>
      </c>
    </row>
    <row r="44" spans="2:10" x14ac:dyDescent="0.35">
      <c r="C44" t="s">
        <v>196</v>
      </c>
      <c r="D44" t="s">
        <v>197</v>
      </c>
      <c r="E44">
        <v>2E-3</v>
      </c>
      <c r="H44" t="s">
        <v>198</v>
      </c>
      <c r="I44" t="s">
        <v>199</v>
      </c>
    </row>
    <row r="45" spans="2:10" x14ac:dyDescent="0.35">
      <c r="C45" t="s">
        <v>200</v>
      </c>
      <c r="D45" t="s">
        <v>197</v>
      </c>
      <c r="E45">
        <v>0</v>
      </c>
      <c r="H45" t="s">
        <v>201</v>
      </c>
      <c r="I45" t="s">
        <v>202</v>
      </c>
      <c r="J45">
        <v>5.0999999999999996</v>
      </c>
    </row>
    <row r="46" spans="2:10" x14ac:dyDescent="0.35">
      <c r="H46" t="s">
        <v>203</v>
      </c>
      <c r="I46" t="s">
        <v>199</v>
      </c>
    </row>
    <row r="47" spans="2:10" x14ac:dyDescent="0.35">
      <c r="C47" t="s">
        <v>204</v>
      </c>
      <c r="D47" t="s">
        <v>197</v>
      </c>
      <c r="E47">
        <v>7.0000000000000007E-2</v>
      </c>
      <c r="H47" t="s">
        <v>205</v>
      </c>
      <c r="I47" t="s">
        <v>206</v>
      </c>
      <c r="J47" s="32">
        <f>'OAD coût CO2 épargné'!N40/100</f>
        <v>0.05</v>
      </c>
    </row>
    <row r="48" spans="2:10" x14ac:dyDescent="0.35">
      <c r="C48" t="s">
        <v>207</v>
      </c>
      <c r="D48" t="s">
        <v>197</v>
      </c>
      <c r="E48">
        <v>5.0000000000000001E-3</v>
      </c>
      <c r="H48" t="s">
        <v>208</v>
      </c>
      <c r="I48" t="s">
        <v>146</v>
      </c>
      <c r="J48">
        <f>'OAD coût CO2 épargné'!N41/100</f>
        <v>0.9</v>
      </c>
    </row>
    <row r="49" spans="2:18" x14ac:dyDescent="0.35">
      <c r="C49" t="s">
        <v>209</v>
      </c>
      <c r="D49" t="s">
        <v>197</v>
      </c>
      <c r="E49">
        <v>0.04</v>
      </c>
      <c r="H49" t="s">
        <v>210</v>
      </c>
      <c r="I49" t="s">
        <v>211</v>
      </c>
      <c r="J49">
        <v>5.0000000000000001E-3</v>
      </c>
    </row>
    <row r="50" spans="2:18" x14ac:dyDescent="0.35">
      <c r="C50" t="s">
        <v>212</v>
      </c>
      <c r="D50" t="s">
        <v>213</v>
      </c>
      <c r="E50">
        <v>1E-3</v>
      </c>
      <c r="H50" t="s">
        <v>214</v>
      </c>
      <c r="I50" t="s">
        <v>215</v>
      </c>
      <c r="J50">
        <v>1E-4</v>
      </c>
    </row>
    <row r="51" spans="2:18" x14ac:dyDescent="0.35">
      <c r="B51" t="s">
        <v>188</v>
      </c>
      <c r="C51" t="s">
        <v>216</v>
      </c>
      <c r="D51" t="s">
        <v>217</v>
      </c>
      <c r="E51">
        <v>7.0000000000000001E-3</v>
      </c>
      <c r="H51" t="s">
        <v>218</v>
      </c>
      <c r="I51" t="s">
        <v>219</v>
      </c>
      <c r="J51">
        <v>1.2099999999999999E-3</v>
      </c>
    </row>
    <row r="52" spans="2:18" ht="15" x14ac:dyDescent="0.35">
      <c r="B52" t="s">
        <v>68</v>
      </c>
      <c r="C52" t="s">
        <v>193</v>
      </c>
      <c r="D52" t="s">
        <v>220</v>
      </c>
      <c r="E52">
        <v>0.06</v>
      </c>
      <c r="H52" s="5" t="s">
        <v>221</v>
      </c>
      <c r="I52" t="s">
        <v>164</v>
      </c>
      <c r="J52">
        <v>0.73</v>
      </c>
    </row>
    <row r="53" spans="2:18" x14ac:dyDescent="0.35">
      <c r="B53" t="s">
        <v>222</v>
      </c>
      <c r="H53" t="s">
        <v>223</v>
      </c>
      <c r="I53" t="s">
        <v>146</v>
      </c>
      <c r="J53" t="s">
        <v>224</v>
      </c>
      <c r="L53" t="s">
        <v>225</v>
      </c>
      <c r="M53" t="s">
        <v>226</v>
      </c>
      <c r="N53" t="s">
        <v>227</v>
      </c>
      <c r="O53" t="s">
        <v>228</v>
      </c>
      <c r="R53" t="s">
        <v>229</v>
      </c>
    </row>
    <row r="54" spans="2:18" ht="15" x14ac:dyDescent="0.35">
      <c r="C54" t="s">
        <v>230</v>
      </c>
      <c r="D54" t="s">
        <v>231</v>
      </c>
      <c r="E54" t="s">
        <v>232</v>
      </c>
      <c r="H54" t="s">
        <v>233</v>
      </c>
      <c r="I54" t="s">
        <v>234</v>
      </c>
      <c r="J54">
        <v>9.4899999999999997E-4</v>
      </c>
      <c r="N54" t="s">
        <v>235</v>
      </c>
      <c r="O54" t="s">
        <v>236</v>
      </c>
      <c r="R54" t="s">
        <v>237</v>
      </c>
    </row>
    <row r="55" spans="2:18" x14ac:dyDescent="0.35">
      <c r="C55" t="s">
        <v>238</v>
      </c>
      <c r="D55" t="s">
        <v>231</v>
      </c>
      <c r="E55" t="s">
        <v>232</v>
      </c>
      <c r="H55" t="s">
        <v>239</v>
      </c>
      <c r="I55" t="s">
        <v>240</v>
      </c>
      <c r="J55">
        <v>1.2099999999999999E-3</v>
      </c>
      <c r="N55" t="s">
        <v>241</v>
      </c>
      <c r="O55" t="s">
        <v>242</v>
      </c>
      <c r="P55" t="s">
        <v>243</v>
      </c>
      <c r="R55" t="s">
        <v>244</v>
      </c>
    </row>
    <row r="56" spans="2:18" x14ac:dyDescent="0.35">
      <c r="C56" t="s">
        <v>245</v>
      </c>
      <c r="D56" t="s">
        <v>231</v>
      </c>
      <c r="E56" t="s">
        <v>232</v>
      </c>
      <c r="H56" t="s">
        <v>246</v>
      </c>
      <c r="I56" t="s">
        <v>195</v>
      </c>
      <c r="P56" t="s">
        <v>247</v>
      </c>
    </row>
    <row r="57" spans="2:18" x14ac:dyDescent="0.35">
      <c r="C57" t="s">
        <v>248</v>
      </c>
      <c r="D57" t="s">
        <v>249</v>
      </c>
      <c r="E57">
        <v>0.7</v>
      </c>
    </row>
    <row r="58" spans="2:18" x14ac:dyDescent="0.35">
      <c r="B58" t="s">
        <v>250</v>
      </c>
      <c r="H58" t="s">
        <v>251</v>
      </c>
      <c r="I58" t="s">
        <v>252</v>
      </c>
      <c r="J58">
        <v>1.4E-2</v>
      </c>
      <c r="P58" t="s">
        <v>253</v>
      </c>
      <c r="R58" t="s">
        <v>254</v>
      </c>
    </row>
    <row r="59" spans="2:18" x14ac:dyDescent="0.35">
      <c r="B59" t="s">
        <v>144</v>
      </c>
      <c r="C59" t="s">
        <v>255</v>
      </c>
      <c r="D59" t="s">
        <v>256</v>
      </c>
      <c r="E59">
        <v>0.22</v>
      </c>
      <c r="H59" t="s">
        <v>257</v>
      </c>
      <c r="I59" t="s">
        <v>258</v>
      </c>
      <c r="J59">
        <v>4.1000000000000003E-3</v>
      </c>
      <c r="L59" t="s">
        <v>259</v>
      </c>
      <c r="M59" t="s">
        <v>260</v>
      </c>
      <c r="N59" t="s">
        <v>261</v>
      </c>
    </row>
    <row r="60" spans="2:18" x14ac:dyDescent="0.35">
      <c r="H60" t="s">
        <v>262</v>
      </c>
      <c r="I60" t="s">
        <v>263</v>
      </c>
      <c r="J60">
        <v>0</v>
      </c>
    </row>
    <row r="61" spans="2:18" x14ac:dyDescent="0.35">
      <c r="C61" t="s">
        <v>264</v>
      </c>
      <c r="D61" t="s">
        <v>256</v>
      </c>
      <c r="E61">
        <v>0.28000000000000003</v>
      </c>
      <c r="H61" t="s">
        <v>265</v>
      </c>
      <c r="I61" t="s">
        <v>266</v>
      </c>
      <c r="J61">
        <v>0.67100000000000004</v>
      </c>
      <c r="N61" t="s">
        <v>247</v>
      </c>
    </row>
    <row r="62" spans="2:18" x14ac:dyDescent="0.35">
      <c r="C62" t="s">
        <v>267</v>
      </c>
      <c r="D62" t="s">
        <v>256</v>
      </c>
      <c r="E62">
        <v>0.25</v>
      </c>
      <c r="H62" t="s">
        <v>268</v>
      </c>
      <c r="I62" t="s">
        <v>269</v>
      </c>
      <c r="J62">
        <v>7.4399999999999998E-4</v>
      </c>
      <c r="N62" t="s">
        <v>270</v>
      </c>
    </row>
    <row r="63" spans="2:18" x14ac:dyDescent="0.35">
      <c r="C63" t="s">
        <v>271</v>
      </c>
      <c r="D63" t="s">
        <v>256</v>
      </c>
      <c r="E63">
        <v>0.31</v>
      </c>
      <c r="H63" t="s">
        <v>272</v>
      </c>
      <c r="I63" t="s">
        <v>273</v>
      </c>
      <c r="J63">
        <v>374</v>
      </c>
    </row>
    <row r="64" spans="2:18" x14ac:dyDescent="0.35">
      <c r="C64" t="s">
        <v>274</v>
      </c>
      <c r="D64" t="s">
        <v>256</v>
      </c>
      <c r="E64">
        <v>0.27</v>
      </c>
      <c r="H64" t="s">
        <v>275</v>
      </c>
      <c r="I64" t="s">
        <v>276</v>
      </c>
      <c r="J64">
        <v>5.0000000000000004E-6</v>
      </c>
    </row>
    <row r="65" spans="2:10" x14ac:dyDescent="0.35">
      <c r="B65" t="s">
        <v>277</v>
      </c>
      <c r="C65" t="s">
        <v>278</v>
      </c>
      <c r="D65" t="s">
        <v>279</v>
      </c>
      <c r="E65">
        <v>0.14000000000000001</v>
      </c>
      <c r="H65" t="s">
        <v>280</v>
      </c>
      <c r="I65" t="s">
        <v>281</v>
      </c>
      <c r="J65">
        <v>1E-3</v>
      </c>
    </row>
    <row r="66" spans="2:10" ht="13.9" customHeight="1" x14ac:dyDescent="0.35">
      <c r="C66" t="s">
        <v>282</v>
      </c>
      <c r="D66" t="s">
        <v>279</v>
      </c>
      <c r="E66">
        <v>0.14000000000000001</v>
      </c>
      <c r="H66" t="s">
        <v>283</v>
      </c>
      <c r="I66" t="s">
        <v>284</v>
      </c>
      <c r="J66">
        <v>0.13200000000000001</v>
      </c>
    </row>
    <row r="67" spans="2:10" ht="13.9" customHeight="1" x14ac:dyDescent="0.35">
      <c r="B67" t="s">
        <v>188</v>
      </c>
      <c r="C67" t="s">
        <v>285</v>
      </c>
      <c r="D67" t="s">
        <v>217</v>
      </c>
      <c r="E67">
        <v>2.3E-2</v>
      </c>
      <c r="G67" t="s">
        <v>286</v>
      </c>
      <c r="H67" t="s">
        <v>287</v>
      </c>
      <c r="I67" t="s">
        <v>288</v>
      </c>
      <c r="J67">
        <v>0.3</v>
      </c>
    </row>
    <row r="68" spans="2:10" ht="13.9" customHeight="1" x14ac:dyDescent="0.35">
      <c r="B68" t="s">
        <v>68</v>
      </c>
      <c r="D68" t="s">
        <v>289</v>
      </c>
      <c r="E68">
        <v>0.1</v>
      </c>
    </row>
    <row r="69" spans="2:10" ht="13.9" customHeight="1" x14ac:dyDescent="0.35">
      <c r="B69" t="s">
        <v>290</v>
      </c>
      <c r="C69" t="s">
        <v>291</v>
      </c>
      <c r="D69" t="s">
        <v>215</v>
      </c>
      <c r="E69">
        <v>0.82</v>
      </c>
      <c r="H69" t="s">
        <v>292</v>
      </c>
      <c r="I69" t="s">
        <v>288</v>
      </c>
      <c r="J69">
        <v>4.3999999999999997E-2</v>
      </c>
    </row>
    <row r="70" spans="2:10" ht="13.9" customHeight="1" x14ac:dyDescent="0.35">
      <c r="C70" t="s">
        <v>293</v>
      </c>
      <c r="D70" t="s">
        <v>215</v>
      </c>
      <c r="E70">
        <v>0.84</v>
      </c>
      <c r="H70" t="s">
        <v>294</v>
      </c>
      <c r="I70" t="s">
        <v>295</v>
      </c>
      <c r="J70">
        <v>0.15</v>
      </c>
    </row>
    <row r="71" spans="2:10" ht="13.9" customHeight="1" x14ac:dyDescent="0.35">
      <c r="C71" t="s">
        <v>296</v>
      </c>
      <c r="D71" t="s">
        <v>114</v>
      </c>
      <c r="E71">
        <v>3.68</v>
      </c>
      <c r="H71" t="s">
        <v>297</v>
      </c>
      <c r="I71" t="s">
        <v>298</v>
      </c>
      <c r="J71">
        <v>3.22</v>
      </c>
    </row>
    <row r="72" spans="2:10" ht="13.9" customHeight="1" x14ac:dyDescent="0.35">
      <c r="C72" t="s">
        <v>299</v>
      </c>
      <c r="D72" t="s">
        <v>300</v>
      </c>
      <c r="E72">
        <v>0.55000000000000004</v>
      </c>
      <c r="H72" t="s">
        <v>301</v>
      </c>
      <c r="I72" t="s">
        <v>302</v>
      </c>
      <c r="J72">
        <v>7.0000000000000001E-3</v>
      </c>
    </row>
    <row r="73" spans="2:10" ht="13.9" customHeight="1" x14ac:dyDescent="0.35">
      <c r="B73" t="s">
        <v>303</v>
      </c>
      <c r="G73" t="s">
        <v>304</v>
      </c>
    </row>
    <row r="74" spans="2:10" ht="13.9" customHeight="1" x14ac:dyDescent="0.35">
      <c r="C74" t="s">
        <v>305</v>
      </c>
      <c r="D74" t="s">
        <v>306</v>
      </c>
      <c r="E74">
        <v>3.02</v>
      </c>
      <c r="I74" t="s">
        <v>307</v>
      </c>
      <c r="J74">
        <v>2.0799999999999999E-2</v>
      </c>
    </row>
    <row r="75" spans="2:10" ht="13.9" customHeight="1" x14ac:dyDescent="0.35">
      <c r="B75" t="s">
        <v>308</v>
      </c>
      <c r="C75" t="s">
        <v>309</v>
      </c>
      <c r="E75">
        <v>327</v>
      </c>
      <c r="H75" t="s">
        <v>310</v>
      </c>
      <c r="I75" t="s">
        <v>311</v>
      </c>
      <c r="J75" s="207">
        <v>0.6</v>
      </c>
    </row>
    <row r="76" spans="2:10" ht="13.9" customHeight="1" x14ac:dyDescent="0.35">
      <c r="C76" t="s">
        <v>312</v>
      </c>
      <c r="E76">
        <v>402.32</v>
      </c>
      <c r="I76" t="s">
        <v>313</v>
      </c>
      <c r="J76" s="207">
        <v>0.7</v>
      </c>
    </row>
    <row r="77" spans="2:10" ht="13.9" customHeight="1" x14ac:dyDescent="0.35">
      <c r="C77" t="s">
        <v>314</v>
      </c>
      <c r="E77">
        <v>375</v>
      </c>
      <c r="I77" t="s">
        <v>315</v>
      </c>
      <c r="J77" s="207">
        <v>0.7</v>
      </c>
    </row>
    <row r="78" spans="2:10" ht="13.9" customHeight="1" x14ac:dyDescent="0.35">
      <c r="C78" t="s">
        <v>316</v>
      </c>
      <c r="E78">
        <v>336</v>
      </c>
    </row>
    <row r="79" spans="2:10" ht="13.9" customHeight="1" x14ac:dyDescent="0.35">
      <c r="C79" t="s">
        <v>317</v>
      </c>
      <c r="E79">
        <v>280.74</v>
      </c>
    </row>
    <row r="80" spans="2:10" ht="13.9" customHeight="1" x14ac:dyDescent="0.35">
      <c r="C80" t="s">
        <v>318</v>
      </c>
      <c r="E80">
        <v>264.60000000000002</v>
      </c>
    </row>
    <row r="81" spans="2:10" ht="13.9" customHeight="1" x14ac:dyDescent="0.35">
      <c r="C81" t="s">
        <v>319</v>
      </c>
      <c r="E81">
        <v>151</v>
      </c>
      <c r="G81" t="s">
        <v>320</v>
      </c>
      <c r="H81" t="s">
        <v>321</v>
      </c>
    </row>
    <row r="82" spans="2:10" ht="13.9" customHeight="1" x14ac:dyDescent="0.35">
      <c r="C82" t="s">
        <v>322</v>
      </c>
      <c r="E82">
        <v>204.23</v>
      </c>
      <c r="H82" t="s">
        <v>323</v>
      </c>
      <c r="J82">
        <f>J14*J15*J36/J31</f>
        <v>3.5422314049586778</v>
      </c>
    </row>
    <row r="83" spans="2:10" ht="13.9" customHeight="1" x14ac:dyDescent="0.35">
      <c r="C83" t="s">
        <v>324</v>
      </c>
      <c r="G83" t="s">
        <v>325</v>
      </c>
      <c r="I83" t="s">
        <v>326</v>
      </c>
      <c r="J83">
        <v>1</v>
      </c>
    </row>
    <row r="84" spans="2:10" ht="13.9" customHeight="1" x14ac:dyDescent="0.35"/>
    <row r="85" spans="2:10" ht="13.9" customHeight="1" x14ac:dyDescent="0.35">
      <c r="C85" t="s">
        <v>327</v>
      </c>
      <c r="E85">
        <v>298.27999999999997</v>
      </c>
    </row>
    <row r="86" spans="2:10" ht="13.9" customHeight="1" x14ac:dyDescent="0.35">
      <c r="C86" t="s">
        <v>328</v>
      </c>
      <c r="E86">
        <v>205.1</v>
      </c>
    </row>
    <row r="87" spans="2:10" ht="13.9" customHeight="1" x14ac:dyDescent="0.35">
      <c r="C87" t="s">
        <v>329</v>
      </c>
      <c r="E87">
        <v>351</v>
      </c>
    </row>
    <row r="88" spans="2:10" ht="13.9" customHeight="1" x14ac:dyDescent="0.35">
      <c r="C88" t="s">
        <v>330</v>
      </c>
    </row>
    <row r="89" spans="2:10" ht="13.9" customHeight="1" x14ac:dyDescent="0.35">
      <c r="B89" t="s">
        <v>331</v>
      </c>
      <c r="C89" t="s">
        <v>332</v>
      </c>
      <c r="D89" t="s">
        <v>333</v>
      </c>
      <c r="E89">
        <v>0.08</v>
      </c>
    </row>
    <row r="90" spans="2:10" ht="13.9" customHeight="1" x14ac:dyDescent="0.35">
      <c r="B90" t="s">
        <v>334</v>
      </c>
      <c r="C90" t="s">
        <v>335</v>
      </c>
      <c r="E90">
        <v>0.4</v>
      </c>
    </row>
    <row r="91" spans="2:10" ht="13.9" customHeight="1" x14ac:dyDescent="0.35">
      <c r="C91" t="s">
        <v>336</v>
      </c>
      <c r="E91">
        <v>0.55000000000000004</v>
      </c>
    </row>
    <row r="92" spans="2:10" ht="13.9" customHeight="1" x14ac:dyDescent="0.35">
      <c r="C92" t="s">
        <v>337</v>
      </c>
      <c r="E92">
        <v>0.76</v>
      </c>
    </row>
    <row r="93" spans="2:10" ht="13.9" customHeight="1" x14ac:dyDescent="0.35">
      <c r="C93" t="s">
        <v>338</v>
      </c>
      <c r="E93">
        <v>0.18</v>
      </c>
    </row>
    <row r="94" spans="2:10" ht="13.9" customHeight="1" x14ac:dyDescent="0.35">
      <c r="C94" t="s">
        <v>339</v>
      </c>
      <c r="D94" t="s">
        <v>340</v>
      </c>
      <c r="E94">
        <v>0.14499999999999999</v>
      </c>
    </row>
    <row r="95" spans="2:10" ht="13.9" customHeight="1" x14ac:dyDescent="0.35">
      <c r="C95" t="s">
        <v>341</v>
      </c>
      <c r="D95" t="s">
        <v>333</v>
      </c>
      <c r="E95">
        <v>0.107</v>
      </c>
    </row>
    <row r="96" spans="2:10" ht="13.9" customHeight="1" x14ac:dyDescent="0.35">
      <c r="B96" t="s">
        <v>342</v>
      </c>
      <c r="C96" t="s">
        <v>343</v>
      </c>
      <c r="E96">
        <v>0.6</v>
      </c>
    </row>
    <row r="97" spans="2:7" ht="13.9" customHeight="1" x14ac:dyDescent="0.35">
      <c r="C97" t="s">
        <v>344</v>
      </c>
      <c r="E97">
        <v>0.4</v>
      </c>
    </row>
    <row r="98" spans="2:7" ht="12.75" customHeight="1" x14ac:dyDescent="0.35">
      <c r="B98" s="379" t="s">
        <v>16</v>
      </c>
      <c r="C98" s="379"/>
      <c r="D98" s="379"/>
      <c r="E98" s="379"/>
      <c r="F98" s="379"/>
      <c r="G98" s="152"/>
    </row>
    <row r="99" spans="2:7" ht="12.75" customHeight="1" x14ac:dyDescent="0.35">
      <c r="B99" t="s">
        <v>345</v>
      </c>
    </row>
    <row r="100" spans="2:7" ht="12.75" customHeight="1" x14ac:dyDescent="0.35">
      <c r="C100" t="s">
        <v>346</v>
      </c>
      <c r="D100" t="s">
        <v>148</v>
      </c>
      <c r="E100" s="16">
        <v>1474760</v>
      </c>
    </row>
    <row r="101" spans="2:7" ht="12.75" customHeight="1" x14ac:dyDescent="0.35">
      <c r="C101" t="s">
        <v>347</v>
      </c>
      <c r="D101" t="s">
        <v>148</v>
      </c>
      <c r="E101" s="16">
        <v>808512</v>
      </c>
    </row>
    <row r="102" spans="2:7" ht="12.75" customHeight="1" x14ac:dyDescent="0.35">
      <c r="C102" t="s">
        <v>348</v>
      </c>
      <c r="D102" t="s">
        <v>349</v>
      </c>
      <c r="E102" s="16">
        <v>892732</v>
      </c>
    </row>
    <row r="103" spans="2:7" ht="12.75" customHeight="1" x14ac:dyDescent="0.35">
      <c r="C103" t="s">
        <v>350</v>
      </c>
      <c r="D103" t="s">
        <v>349</v>
      </c>
      <c r="E103" s="16">
        <v>1051694.2</v>
      </c>
    </row>
    <row r="104" spans="2:7" ht="12.75" customHeight="1" x14ac:dyDescent="0.35">
      <c r="E104" s="16"/>
    </row>
    <row r="105" spans="2:7" ht="12.75" customHeight="1" x14ac:dyDescent="0.35">
      <c r="B105" t="s">
        <v>351</v>
      </c>
      <c r="C105" t="s">
        <v>346</v>
      </c>
      <c r="D105" t="s">
        <v>352</v>
      </c>
      <c r="E105" s="16">
        <f>E100/'Données Production '!H4</f>
        <v>1.2424999999999999E-2</v>
      </c>
    </row>
    <row r="106" spans="2:7" ht="12.75" customHeight="1" x14ac:dyDescent="0.35">
      <c r="C106" t="s">
        <v>347</v>
      </c>
      <c r="D106" t="s">
        <v>352</v>
      </c>
      <c r="E106" s="16">
        <f>E101/'Données Production '!I9</f>
        <v>8.879999999999999E-2</v>
      </c>
    </row>
    <row r="107" spans="2:7" ht="12.75" customHeight="1" x14ac:dyDescent="0.35">
      <c r="C107" t="s">
        <v>348</v>
      </c>
      <c r="D107" t="s">
        <v>353</v>
      </c>
      <c r="E107" s="167">
        <f>E102/'[1]Données Production '!M9</f>
        <v>0.41604999999999998</v>
      </c>
    </row>
    <row r="108" spans="2:7" ht="12.75" customHeight="1" x14ac:dyDescent="0.35">
      <c r="C108" t="s">
        <v>350</v>
      </c>
      <c r="D108" t="s">
        <v>353</v>
      </c>
      <c r="E108" s="167">
        <f>E103/'[1]Données Production '!N9</f>
        <v>8.3839999999999998E-2</v>
      </c>
    </row>
    <row r="109" spans="2:7" ht="12.75" customHeight="1" x14ac:dyDescent="0.35">
      <c r="E109" s="16"/>
    </row>
    <row r="110" spans="2:7" ht="12.75" customHeight="1" x14ac:dyDescent="0.35">
      <c r="B110" t="s">
        <v>354</v>
      </c>
      <c r="C110" t="s">
        <v>346</v>
      </c>
      <c r="D110" t="s">
        <v>355</v>
      </c>
      <c r="E110" s="16">
        <v>0.51800000000000002</v>
      </c>
    </row>
    <row r="111" spans="2:7" ht="12.75" customHeight="1" x14ac:dyDescent="0.35">
      <c r="C111" t="s">
        <v>347</v>
      </c>
      <c r="D111" t="s">
        <v>355</v>
      </c>
      <c r="E111" s="16">
        <v>0.2467</v>
      </c>
    </row>
    <row r="112" spans="2:7" ht="12.75" customHeight="1" x14ac:dyDescent="0.35">
      <c r="C112" t="s">
        <v>348</v>
      </c>
      <c r="D112" t="s">
        <v>355</v>
      </c>
      <c r="E112" s="16">
        <v>6.1100000000000002E-2</v>
      </c>
    </row>
    <row r="113" spans="2:6" ht="12.75" customHeight="1" x14ac:dyDescent="0.35">
      <c r="C113" t="s">
        <v>350</v>
      </c>
      <c r="D113" t="s">
        <v>355</v>
      </c>
      <c r="E113" s="16">
        <v>8.8400000000000006E-2</v>
      </c>
    </row>
    <row r="114" spans="2:6" ht="12.75" customHeight="1" x14ac:dyDescent="0.35">
      <c r="E114" s="16"/>
    </row>
    <row r="115" spans="2:6" ht="12.75" customHeight="1" x14ac:dyDescent="0.35">
      <c r="B115" t="s">
        <v>356</v>
      </c>
      <c r="E115" s="16"/>
      <c r="F115" t="s">
        <v>357</v>
      </c>
    </row>
    <row r="116" spans="2:6" ht="12.75" customHeight="1" x14ac:dyDescent="0.35">
      <c r="C116" t="s">
        <v>346</v>
      </c>
      <c r="D116" t="s">
        <v>358</v>
      </c>
      <c r="E116" s="211">
        <v>0.01</v>
      </c>
      <c r="F116">
        <v>0.01</v>
      </c>
    </row>
    <row r="117" spans="2:6" ht="12.75" customHeight="1" x14ac:dyDescent="0.35">
      <c r="C117" t="s">
        <v>347</v>
      </c>
      <c r="D117" t="s">
        <v>359</v>
      </c>
      <c r="E117" s="32">
        <v>0.08</v>
      </c>
      <c r="F117" t="s">
        <v>360</v>
      </c>
    </row>
    <row r="118" spans="2:6" ht="12.75" customHeight="1" x14ac:dyDescent="0.35">
      <c r="C118" t="s">
        <v>348</v>
      </c>
      <c r="D118" t="s">
        <v>361</v>
      </c>
      <c r="E118" s="211">
        <v>0.02</v>
      </c>
      <c r="F118" t="s">
        <v>360</v>
      </c>
    </row>
    <row r="119" spans="2:6" ht="12.75" customHeight="1" x14ac:dyDescent="0.35">
      <c r="C119" t="s">
        <v>350</v>
      </c>
      <c r="D119" t="s">
        <v>362</v>
      </c>
      <c r="E119" s="211">
        <v>2.0381769436997318E-2</v>
      </c>
      <c r="F119">
        <v>0.02</v>
      </c>
    </row>
    <row r="120" spans="2:6" ht="12.75" customHeight="1" x14ac:dyDescent="0.35">
      <c r="E120" s="16"/>
    </row>
    <row r="121" spans="2:6" ht="12.75" customHeight="1" x14ac:dyDescent="0.35">
      <c r="B121" t="s">
        <v>363</v>
      </c>
      <c r="E121" s="16"/>
    </row>
    <row r="122" spans="2:6" ht="12.75" customHeight="1" x14ac:dyDescent="0.35">
      <c r="C122" t="s">
        <v>346</v>
      </c>
      <c r="D122" t="s">
        <v>364</v>
      </c>
      <c r="E122" s="32">
        <v>4.9000000000000002E-2</v>
      </c>
    </row>
    <row r="123" spans="2:6" ht="12.75" customHeight="1" x14ac:dyDescent="0.35">
      <c r="C123" t="s">
        <v>365</v>
      </c>
      <c r="D123" t="s">
        <v>364</v>
      </c>
      <c r="E123" s="32">
        <v>5.5E-2</v>
      </c>
    </row>
    <row r="124" spans="2:6" ht="12.75" customHeight="1" x14ac:dyDescent="0.35">
      <c r="C124" t="s">
        <v>348</v>
      </c>
      <c r="D124" t="s">
        <v>364</v>
      </c>
      <c r="E124" s="32">
        <v>3.6999999999999998E-2</v>
      </c>
    </row>
    <row r="125" spans="2:6" ht="12.75" customHeight="1" x14ac:dyDescent="0.35">
      <c r="C125" t="s">
        <v>350</v>
      </c>
      <c r="D125" t="s">
        <v>364</v>
      </c>
      <c r="E125" s="32">
        <v>0.14899999999999999</v>
      </c>
    </row>
    <row r="126" spans="2:6" ht="12.75" customHeight="1" x14ac:dyDescent="0.35">
      <c r="E126" s="16"/>
    </row>
    <row r="127" spans="2:6" ht="12.75" customHeight="1" x14ac:dyDescent="0.35">
      <c r="B127" t="s">
        <v>366</v>
      </c>
      <c r="C127" t="s">
        <v>346</v>
      </c>
      <c r="D127" t="s">
        <v>367</v>
      </c>
      <c r="E127" s="32">
        <f>E122*0.7</f>
        <v>3.4299999999999997E-2</v>
      </c>
    </row>
    <row r="128" spans="2:6" ht="12.75" customHeight="1" x14ac:dyDescent="0.35">
      <c r="C128" t="s">
        <v>347</v>
      </c>
      <c r="D128" t="s">
        <v>367</v>
      </c>
      <c r="E128" s="32">
        <f>E123*0.7</f>
        <v>3.85E-2</v>
      </c>
    </row>
    <row r="129" spans="2:5" ht="12.75" customHeight="1" x14ac:dyDescent="0.35">
      <c r="C129" t="s">
        <v>348</v>
      </c>
      <c r="D129" t="s">
        <v>367</v>
      </c>
      <c r="E129" s="32">
        <f>E124*0.7</f>
        <v>2.5899999999999996E-2</v>
      </c>
    </row>
    <row r="130" spans="2:5" ht="12.75" customHeight="1" x14ac:dyDescent="0.35">
      <c r="C130" t="s">
        <v>350</v>
      </c>
      <c r="D130" t="s">
        <v>367</v>
      </c>
      <c r="E130" s="32">
        <f>E125*0.7</f>
        <v>0.10429999999999999</v>
      </c>
    </row>
    <row r="131" spans="2:5" ht="12.75" customHeight="1" x14ac:dyDescent="0.35">
      <c r="E131" s="16"/>
    </row>
    <row r="132" spans="2:5" ht="12.75" customHeight="1" x14ac:dyDescent="0.35">
      <c r="B132" t="s">
        <v>368</v>
      </c>
      <c r="C132" t="s">
        <v>346</v>
      </c>
      <c r="D132" t="s">
        <v>369</v>
      </c>
      <c r="E132" s="16">
        <v>0.28000000000000003</v>
      </c>
    </row>
    <row r="133" spans="2:5" ht="12.75" customHeight="1" x14ac:dyDescent="0.35">
      <c r="C133" t="s">
        <v>347</v>
      </c>
      <c r="D133" t="s">
        <v>369</v>
      </c>
      <c r="E133" s="16">
        <v>0.24</v>
      </c>
    </row>
    <row r="134" spans="2:5" ht="12.75" customHeight="1" x14ac:dyDescent="0.35">
      <c r="C134" t="s">
        <v>348</v>
      </c>
      <c r="D134" t="s">
        <v>369</v>
      </c>
      <c r="E134" s="16">
        <v>0.24</v>
      </c>
    </row>
    <row r="135" spans="2:5" ht="12.75" customHeight="1" x14ac:dyDescent="0.35">
      <c r="C135" t="s">
        <v>350</v>
      </c>
      <c r="D135" t="s">
        <v>369</v>
      </c>
      <c r="E135" s="16">
        <v>0.24</v>
      </c>
    </row>
    <row r="136" spans="2:5" ht="12.75" customHeight="1" x14ac:dyDescent="0.35">
      <c r="E136" s="16"/>
    </row>
    <row r="137" spans="2:5" ht="12.75" customHeight="1" x14ac:dyDescent="0.35">
      <c r="B137" t="s">
        <v>370</v>
      </c>
      <c r="C137" t="s">
        <v>346</v>
      </c>
      <c r="D137" t="s">
        <v>371</v>
      </c>
      <c r="E137" s="32">
        <f>E127*(1-0.32)</f>
        <v>2.3323999999999998E-2</v>
      </c>
    </row>
    <row r="138" spans="2:5" ht="12.75" customHeight="1" x14ac:dyDescent="0.35">
      <c r="C138" t="s">
        <v>347</v>
      </c>
      <c r="D138" t="s">
        <v>371</v>
      </c>
      <c r="E138" s="32">
        <f>E128*(1-0.46)</f>
        <v>2.0789999999999999E-2</v>
      </c>
    </row>
    <row r="139" spans="2:5" ht="12.75" customHeight="1" x14ac:dyDescent="0.35">
      <c r="C139" t="s">
        <v>348</v>
      </c>
      <c r="D139" t="s">
        <v>371</v>
      </c>
      <c r="E139" s="32">
        <f>E129*(1-0.21)</f>
        <v>2.0460999999999997E-2</v>
      </c>
    </row>
    <row r="140" spans="2:5" ht="12.75" customHeight="1" x14ac:dyDescent="0.35">
      <c r="C140" t="s">
        <v>350</v>
      </c>
      <c r="D140" t="s">
        <v>371</v>
      </c>
      <c r="E140" s="32">
        <f>E130*(1-0.21)</f>
        <v>8.2396999999999998E-2</v>
      </c>
    </row>
    <row r="141" spans="2:5" ht="12.75" customHeight="1" x14ac:dyDescent="0.35">
      <c r="E141" s="16"/>
    </row>
    <row r="142" spans="2:5" ht="12.75" customHeight="1" x14ac:dyDescent="0.35">
      <c r="B142" t="s">
        <v>372</v>
      </c>
      <c r="C142" t="s">
        <v>346</v>
      </c>
      <c r="D142" t="s">
        <v>373</v>
      </c>
      <c r="E142" s="16">
        <v>0.17</v>
      </c>
    </row>
    <row r="143" spans="2:5" ht="12.75" customHeight="1" x14ac:dyDescent="0.35">
      <c r="C143" t="s">
        <v>347</v>
      </c>
      <c r="D143" t="s">
        <v>373</v>
      </c>
      <c r="E143" s="16">
        <v>0.24</v>
      </c>
    </row>
    <row r="144" spans="2:5" ht="12.75" customHeight="1" x14ac:dyDescent="0.35">
      <c r="C144" t="s">
        <v>348</v>
      </c>
      <c r="D144" t="s">
        <v>373</v>
      </c>
      <c r="E144" s="16">
        <v>0.24</v>
      </c>
    </row>
    <row r="145" spans="2:5" ht="12.75" customHeight="1" x14ac:dyDescent="0.35">
      <c r="C145" t="s">
        <v>350</v>
      </c>
      <c r="D145" t="s">
        <v>373</v>
      </c>
      <c r="E145" s="16">
        <v>0.24</v>
      </c>
    </row>
    <row r="146" spans="2:5" ht="12.75" customHeight="1" x14ac:dyDescent="0.35">
      <c r="E146" s="16"/>
    </row>
    <row r="147" spans="2:5" ht="12.75" customHeight="1" x14ac:dyDescent="0.35">
      <c r="E147" s="16"/>
    </row>
    <row r="148" spans="2:5" ht="12.75" customHeight="1" x14ac:dyDescent="0.35">
      <c r="B148" t="s">
        <v>135</v>
      </c>
      <c r="E148" s="16"/>
    </row>
    <row r="149" spans="2:5" ht="12.75" customHeight="1" x14ac:dyDescent="0.35">
      <c r="C149" t="s">
        <v>374</v>
      </c>
      <c r="D149" t="s">
        <v>375</v>
      </c>
      <c r="E149" s="16">
        <v>0.36</v>
      </c>
    </row>
    <row r="150" spans="2:5" ht="12.75" customHeight="1" x14ac:dyDescent="0.35">
      <c r="B150" t="s">
        <v>376</v>
      </c>
      <c r="C150" t="s">
        <v>346</v>
      </c>
      <c r="D150" t="s">
        <v>375</v>
      </c>
      <c r="E150" s="167">
        <v>0.36</v>
      </c>
    </row>
    <row r="151" spans="2:5" ht="12.75" customHeight="1" x14ac:dyDescent="0.35">
      <c r="B151" t="s">
        <v>376</v>
      </c>
      <c r="C151" t="s">
        <v>347</v>
      </c>
      <c r="D151" t="s">
        <v>375</v>
      </c>
      <c r="E151" s="167">
        <v>0.36</v>
      </c>
    </row>
    <row r="152" spans="2:5" ht="12.75" customHeight="1" x14ac:dyDescent="0.35">
      <c r="B152" t="s">
        <v>376</v>
      </c>
      <c r="C152" t="s">
        <v>348</v>
      </c>
      <c r="D152" t="s">
        <v>375</v>
      </c>
      <c r="E152" s="16">
        <v>0.38</v>
      </c>
    </row>
    <row r="153" spans="2:5" ht="12.75" customHeight="1" x14ac:dyDescent="0.35">
      <c r="B153" t="s">
        <v>376</v>
      </c>
      <c r="C153" t="s">
        <v>350</v>
      </c>
      <c r="D153" t="s">
        <v>375</v>
      </c>
      <c r="E153" s="16">
        <v>0.4</v>
      </c>
    </row>
    <row r="154" spans="2:5" ht="12.75" customHeight="1" x14ac:dyDescent="0.35">
      <c r="E154" s="16"/>
    </row>
    <row r="155" spans="2:5" ht="12.75" customHeight="1" x14ac:dyDescent="0.35">
      <c r="B155" t="s">
        <v>377</v>
      </c>
      <c r="E155" s="16"/>
    </row>
    <row r="156" spans="2:5" ht="12.75" customHeight="1" x14ac:dyDescent="0.35">
      <c r="C156" t="s">
        <v>378</v>
      </c>
      <c r="D156" t="s">
        <v>146</v>
      </c>
      <c r="E156" s="16">
        <v>1.5</v>
      </c>
    </row>
    <row r="157" spans="2:5" ht="12.75" customHeight="1" x14ac:dyDescent="0.35">
      <c r="C157" t="s">
        <v>379</v>
      </c>
      <c r="D157" t="s">
        <v>146</v>
      </c>
      <c r="E157" s="16">
        <v>3</v>
      </c>
    </row>
    <row r="158" spans="2:5" x14ac:dyDescent="0.35">
      <c r="C158" t="s">
        <v>380</v>
      </c>
      <c r="D158" t="s">
        <v>146</v>
      </c>
      <c r="E158" s="16">
        <v>14</v>
      </c>
    </row>
    <row r="159" spans="2:5" x14ac:dyDescent="0.35">
      <c r="C159" t="s">
        <v>68</v>
      </c>
      <c r="D159" t="s">
        <v>146</v>
      </c>
      <c r="E159" s="16">
        <v>0.5</v>
      </c>
    </row>
    <row r="160" spans="2:5" x14ac:dyDescent="0.35">
      <c r="E160" s="16"/>
    </row>
    <row r="161" spans="2:43" x14ac:dyDescent="0.35">
      <c r="B161" t="s">
        <v>140</v>
      </c>
      <c r="E161" s="16"/>
    </row>
    <row r="162" spans="2:43" x14ac:dyDescent="0.35">
      <c r="B162" t="s">
        <v>381</v>
      </c>
      <c r="C162" t="s">
        <v>346</v>
      </c>
      <c r="D162" t="s">
        <v>382</v>
      </c>
      <c r="E162" s="32">
        <f>E116*360*E150*E156*0.67/100</f>
        <v>1.3024800000000001E-2</v>
      </c>
      <c r="F162" s="120">
        <f>E149*(E156/100)*E116*365*0.67</f>
        <v>1.3205699999999999E-2</v>
      </c>
    </row>
    <row r="163" spans="2:43" x14ac:dyDescent="0.35">
      <c r="C163" t="s">
        <v>347</v>
      </c>
      <c r="D163" t="s">
        <v>382</v>
      </c>
      <c r="E163" s="32">
        <f>E117*360*0.67*E151*E156/100</f>
        <v>0.10419840000000001</v>
      </c>
      <c r="F163">
        <f>0.67*365*E149</f>
        <v>88.037999999999997</v>
      </c>
    </row>
    <row r="164" spans="2:43" x14ac:dyDescent="0.35">
      <c r="C164" t="s">
        <v>383</v>
      </c>
      <c r="D164" t="s">
        <v>382</v>
      </c>
      <c r="E164" s="32">
        <f>E116*E150*360*E159*0.67/100</f>
        <v>4.3416000000000001E-3</v>
      </c>
    </row>
    <row r="165" spans="2:43" x14ac:dyDescent="0.35">
      <c r="C165" t="s">
        <v>384</v>
      </c>
      <c r="D165" t="s">
        <v>382</v>
      </c>
      <c r="E165" s="16">
        <f>E163*0.5/1.5</f>
        <v>3.4732800000000001E-2</v>
      </c>
      <c r="AA165" s="379" t="s">
        <v>385</v>
      </c>
      <c r="AB165" s="379"/>
      <c r="AC165" s="379"/>
      <c r="AD165" s="379"/>
      <c r="AE165" s="379"/>
      <c r="AF165" s="379"/>
      <c r="AG165" s="379"/>
    </row>
    <row r="166" spans="2:43" x14ac:dyDescent="0.35">
      <c r="C166" t="s">
        <v>386</v>
      </c>
      <c r="D166" t="s">
        <v>382</v>
      </c>
      <c r="E166" s="16">
        <f>E118*360*0.67*E152*E157/100</f>
        <v>5.4993600000000011E-2</v>
      </c>
      <c r="AA166" s="13"/>
      <c r="AB166" s="13"/>
      <c r="AC166" s="13"/>
      <c r="AD166" s="13"/>
      <c r="AE166" s="13"/>
      <c r="AG166" s="13" t="s">
        <v>387</v>
      </c>
    </row>
    <row r="167" spans="2:43" x14ac:dyDescent="0.35">
      <c r="C167" t="s">
        <v>388</v>
      </c>
      <c r="D167" t="s">
        <v>382</v>
      </c>
      <c r="E167" s="16">
        <f>E119*360*0.67*E153*E157/100</f>
        <v>5.8992993458445039E-2</v>
      </c>
      <c r="AA167" t="s">
        <v>389</v>
      </c>
      <c r="AB167" t="s">
        <v>390</v>
      </c>
      <c r="AC167" t="s">
        <v>391</v>
      </c>
      <c r="AD167" t="s">
        <v>390</v>
      </c>
      <c r="AE167" t="s">
        <v>392</v>
      </c>
      <c r="AG167">
        <f>20*85*3.17</f>
        <v>5389</v>
      </c>
    </row>
    <row r="168" spans="2:43" x14ac:dyDescent="0.35">
      <c r="C168" t="s">
        <v>393</v>
      </c>
      <c r="D168" t="s">
        <v>382</v>
      </c>
      <c r="E168" s="16">
        <f>E166*E158/E157</f>
        <v>0.25663680000000005</v>
      </c>
      <c r="AA168" t="s">
        <v>105</v>
      </c>
      <c r="AB168" t="s">
        <v>390</v>
      </c>
      <c r="AC168" t="s">
        <v>394</v>
      </c>
      <c r="AD168" t="s">
        <v>390</v>
      </c>
      <c r="AE168" t="s">
        <v>395</v>
      </c>
      <c r="AG168">
        <f>20*(80*(5.34+0.021*265)+30*0.57+50*0.45)</f>
        <v>18240.000000000004</v>
      </c>
    </row>
    <row r="169" spans="2:43" x14ac:dyDescent="0.35">
      <c r="C169" t="s">
        <v>396</v>
      </c>
      <c r="D169" t="s">
        <v>382</v>
      </c>
      <c r="E169" s="16">
        <f>E167*E158/E157</f>
        <v>0.27530063613941019</v>
      </c>
      <c r="AA169" t="s">
        <v>397</v>
      </c>
      <c r="AB169" t="s">
        <v>390</v>
      </c>
      <c r="AC169" t="s">
        <v>398</v>
      </c>
      <c r="AD169" t="s">
        <v>390</v>
      </c>
      <c r="AE169" t="s">
        <v>399</v>
      </c>
      <c r="AG169">
        <f>-130*3.67</f>
        <v>-477.09999999999997</v>
      </c>
    </row>
    <row r="170" spans="2:43" x14ac:dyDescent="0.35">
      <c r="B170" t="s">
        <v>400</v>
      </c>
      <c r="AA170" t="s">
        <v>401</v>
      </c>
      <c r="AB170" t="s">
        <v>390</v>
      </c>
      <c r="AC170" t="s">
        <v>402</v>
      </c>
      <c r="AD170" t="s">
        <v>390</v>
      </c>
      <c r="AE170" t="s">
        <v>403</v>
      </c>
      <c r="AG170">
        <f>3.3*120*0.0571</f>
        <v>22.611599999999999</v>
      </c>
    </row>
    <row r="171" spans="2:43" x14ac:dyDescent="0.35">
      <c r="AA171" t="s">
        <v>404</v>
      </c>
      <c r="AB171" t="s">
        <v>390</v>
      </c>
      <c r="AC171" t="s">
        <v>405</v>
      </c>
      <c r="AD171" t="s">
        <v>390</v>
      </c>
      <c r="AE171" s="117" t="s">
        <v>406</v>
      </c>
    </row>
    <row r="172" spans="2:43" x14ac:dyDescent="0.35">
      <c r="B172" t="s">
        <v>407</v>
      </c>
      <c r="D172">
        <f>0.2</f>
        <v>0.2</v>
      </c>
      <c r="E172" s="117" t="s">
        <v>408</v>
      </c>
      <c r="AB172" t="s">
        <v>390</v>
      </c>
      <c r="AC172" t="s">
        <v>409</v>
      </c>
      <c r="AD172" t="s">
        <v>390</v>
      </c>
    </row>
    <row r="173" spans="2:43" x14ac:dyDescent="0.35">
      <c r="B173" t="s">
        <v>410</v>
      </c>
      <c r="D173">
        <v>0.7</v>
      </c>
      <c r="E173" s="117" t="s">
        <v>411</v>
      </c>
      <c r="AA173" t="s">
        <v>412</v>
      </c>
      <c r="AB173" t="s">
        <v>390</v>
      </c>
      <c r="AD173" t="s">
        <v>390</v>
      </c>
    </row>
    <row r="174" spans="2:43" x14ac:dyDescent="0.35">
      <c r="B174" t="s">
        <v>413</v>
      </c>
      <c r="E174" s="117"/>
      <c r="AA174" t="s">
        <v>414</v>
      </c>
      <c r="AB174" t="s">
        <v>390</v>
      </c>
      <c r="AC174" t="s">
        <v>415</v>
      </c>
      <c r="AD174" t="s">
        <v>390</v>
      </c>
    </row>
    <row r="175" spans="2:43" x14ac:dyDescent="0.35">
      <c r="B175" t="s">
        <v>416</v>
      </c>
      <c r="E175" s="117"/>
      <c r="AN175" s="351" t="s">
        <v>417</v>
      </c>
      <c r="AO175" s="351"/>
      <c r="AP175" s="351"/>
      <c r="AQ175" t="s">
        <v>418</v>
      </c>
    </row>
    <row r="176" spans="2:43" x14ac:dyDescent="0.35">
      <c r="B176" t="s">
        <v>419</v>
      </c>
      <c r="D176">
        <v>0.85</v>
      </c>
      <c r="E176" s="117" t="s">
        <v>420</v>
      </c>
      <c r="AK176" t="s">
        <v>414</v>
      </c>
      <c r="AL176" t="s">
        <v>390</v>
      </c>
      <c r="AN176" t="s">
        <v>421</v>
      </c>
      <c r="AO176" t="s">
        <v>390</v>
      </c>
    </row>
    <row r="177" spans="1:42" x14ac:dyDescent="0.35">
      <c r="B177" t="s">
        <v>422</v>
      </c>
      <c r="AK177" t="s">
        <v>423</v>
      </c>
      <c r="AL177" t="s">
        <v>390</v>
      </c>
      <c r="AN177" t="s">
        <v>424</v>
      </c>
      <c r="AO177" t="s">
        <v>390</v>
      </c>
      <c r="AP177" t="s">
        <v>425</v>
      </c>
    </row>
    <row r="178" spans="1:42" x14ac:dyDescent="0.35">
      <c r="C178" t="s">
        <v>346</v>
      </c>
      <c r="D178" t="s">
        <v>426</v>
      </c>
      <c r="E178">
        <v>1E-3</v>
      </c>
      <c r="AA178" s="379" t="s">
        <v>427</v>
      </c>
      <c r="AB178" s="379"/>
      <c r="AC178" s="379"/>
      <c r="AD178" s="379"/>
      <c r="AE178" s="379"/>
      <c r="AF178" s="379"/>
      <c r="AG178" s="379"/>
      <c r="AK178" t="s">
        <v>428</v>
      </c>
      <c r="AL178" t="s">
        <v>390</v>
      </c>
      <c r="AN178" t="s">
        <v>429</v>
      </c>
      <c r="AO178" t="s">
        <v>390</v>
      </c>
      <c r="AP178" s="117" t="s">
        <v>430</v>
      </c>
    </row>
    <row r="179" spans="1:42" x14ac:dyDescent="0.35">
      <c r="C179" t="s">
        <v>347</v>
      </c>
      <c r="D179" t="s">
        <v>426</v>
      </c>
      <c r="E179">
        <v>1E-3</v>
      </c>
      <c r="AA179" s="13"/>
      <c r="AB179" s="13"/>
      <c r="AC179" s="13"/>
      <c r="AD179" s="13"/>
      <c r="AE179" s="13"/>
      <c r="AG179" s="13" t="s">
        <v>387</v>
      </c>
      <c r="AK179" t="s">
        <v>431</v>
      </c>
      <c r="AL179" t="s">
        <v>390</v>
      </c>
      <c r="AM179" t="s">
        <v>243</v>
      </c>
      <c r="AN179" t="s">
        <v>432</v>
      </c>
      <c r="AO179" t="s">
        <v>390</v>
      </c>
      <c r="AP179" t="s">
        <v>433</v>
      </c>
    </row>
    <row r="180" spans="1:42" x14ac:dyDescent="0.35">
      <c r="C180" t="s">
        <v>348</v>
      </c>
      <c r="D180" t="s">
        <v>426</v>
      </c>
      <c r="E180">
        <v>2E-3</v>
      </c>
      <c r="Z180" t="s">
        <v>95</v>
      </c>
      <c r="AA180" t="s">
        <v>389</v>
      </c>
      <c r="AB180" t="s">
        <v>390</v>
      </c>
      <c r="AC180" t="s">
        <v>434</v>
      </c>
      <c r="AD180" t="s">
        <v>390</v>
      </c>
      <c r="AE180" t="s">
        <v>392</v>
      </c>
      <c r="AG180">
        <f>20*85*3.17</f>
        <v>5389</v>
      </c>
      <c r="AM180" t="s">
        <v>253</v>
      </c>
      <c r="AN180" t="s">
        <v>435</v>
      </c>
      <c r="AO180" t="s">
        <v>390</v>
      </c>
      <c r="AP180" t="s">
        <v>436</v>
      </c>
    </row>
    <row r="181" spans="1:42" x14ac:dyDescent="0.35">
      <c r="C181" t="s">
        <v>350</v>
      </c>
      <c r="D181" t="s">
        <v>426</v>
      </c>
      <c r="E181">
        <v>2E-3</v>
      </c>
      <c r="AA181" t="s">
        <v>105</v>
      </c>
      <c r="AB181" t="s">
        <v>390</v>
      </c>
      <c r="AC181" t="s">
        <v>437</v>
      </c>
      <c r="AD181" t="s">
        <v>390</v>
      </c>
      <c r="AE181" t="s">
        <v>395</v>
      </c>
      <c r="AG181">
        <f>20*(80*(5.34+0.021*265)+30*0.57+50*0.45)</f>
        <v>18240.000000000004</v>
      </c>
    </row>
    <row r="182" spans="1:42" x14ac:dyDescent="0.35">
      <c r="AA182" t="s">
        <v>397</v>
      </c>
      <c r="AB182" t="s">
        <v>390</v>
      </c>
      <c r="AC182" t="s">
        <v>438</v>
      </c>
      <c r="AD182" t="s">
        <v>390</v>
      </c>
      <c r="AE182" t="s">
        <v>399</v>
      </c>
      <c r="AG182">
        <f>-130*3.67</f>
        <v>-477.09999999999997</v>
      </c>
    </row>
    <row r="183" spans="1:42" x14ac:dyDescent="0.35">
      <c r="A183" s="390" t="s">
        <v>439</v>
      </c>
      <c r="B183" s="390"/>
      <c r="C183" s="390"/>
      <c r="D183" s="390"/>
      <c r="E183" s="390"/>
      <c r="F183" s="390"/>
      <c r="G183" s="390"/>
      <c r="H183" s="390"/>
      <c r="I183" s="390"/>
      <c r="J183" s="390"/>
      <c r="Z183" t="s">
        <v>440</v>
      </c>
      <c r="AA183" t="s">
        <v>401</v>
      </c>
      <c r="AB183" t="s">
        <v>390</v>
      </c>
      <c r="AC183" t="s">
        <v>402</v>
      </c>
      <c r="AD183" t="s">
        <v>390</v>
      </c>
      <c r="AE183" t="s">
        <v>403</v>
      </c>
      <c r="AG183">
        <f>3.3*120*0.0571</f>
        <v>22.611599999999999</v>
      </c>
    </row>
    <row r="184" spans="1:42" ht="15" thickBot="1" x14ac:dyDescent="0.4">
      <c r="A184" t="s">
        <v>140</v>
      </c>
    </row>
    <row r="185" spans="1:42" ht="15" thickBot="1" x14ac:dyDescent="0.4">
      <c r="A185" t="s">
        <v>441</v>
      </c>
      <c r="C185" s="57" t="s">
        <v>442</v>
      </c>
      <c r="D185" s="58" t="s">
        <v>443</v>
      </c>
      <c r="E185" s="59" t="s">
        <v>444</v>
      </c>
      <c r="F185" s="59" t="s">
        <v>445</v>
      </c>
      <c r="G185" s="59" t="s">
        <v>55</v>
      </c>
      <c r="H185" s="59" t="s">
        <v>446</v>
      </c>
      <c r="I185" s="59" t="s">
        <v>447</v>
      </c>
      <c r="J185" s="60" t="s">
        <v>448</v>
      </c>
    </row>
    <row r="186" spans="1:42" ht="19" thickBot="1" x14ac:dyDescent="0.4">
      <c r="B186" s="61" t="s">
        <v>449</v>
      </c>
      <c r="C186" s="120" t="s">
        <v>450</v>
      </c>
      <c r="D186" s="62">
        <v>100</v>
      </c>
      <c r="E186" s="63">
        <v>30</v>
      </c>
      <c r="F186" s="63">
        <v>80</v>
      </c>
      <c r="G186" s="63">
        <v>150</v>
      </c>
      <c r="H186" s="62">
        <v>400</v>
      </c>
      <c r="I186" s="64">
        <v>400</v>
      </c>
      <c r="J186" s="64">
        <v>150</v>
      </c>
    </row>
    <row r="187" spans="1:42" ht="15" thickBot="1" x14ac:dyDescent="0.4">
      <c r="B187" s="66" t="s">
        <v>451</v>
      </c>
      <c r="C187" s="65"/>
      <c r="D187" s="67"/>
      <c r="E187" s="65"/>
      <c r="F187" s="65"/>
      <c r="G187" s="65"/>
      <c r="H187" s="65"/>
      <c r="I187" s="65"/>
      <c r="J187" s="65"/>
    </row>
    <row r="188" spans="1:42" ht="15" thickBot="1" x14ac:dyDescent="0.4">
      <c r="B188" t="s">
        <v>452</v>
      </c>
      <c r="C188" t="s">
        <v>231</v>
      </c>
      <c r="D188" s="68">
        <v>20.399999999999999</v>
      </c>
      <c r="E188" s="55"/>
      <c r="F188" s="55"/>
      <c r="G188" s="69"/>
      <c r="H188" s="56"/>
      <c r="I188" s="56"/>
      <c r="J188" s="56"/>
    </row>
    <row r="189" spans="1:42" x14ac:dyDescent="0.35">
      <c r="B189" t="s">
        <v>453</v>
      </c>
      <c r="C189" t="s">
        <v>454</v>
      </c>
      <c r="D189" s="70">
        <v>919</v>
      </c>
      <c r="E189" s="44"/>
      <c r="F189" s="44"/>
      <c r="G189" s="44"/>
      <c r="H189" s="44"/>
      <c r="I189" s="44"/>
      <c r="J189" s="44"/>
    </row>
    <row r="190" spans="1:42" x14ac:dyDescent="0.35">
      <c r="B190" t="s">
        <v>455</v>
      </c>
      <c r="C190" t="s">
        <v>146</v>
      </c>
      <c r="D190" s="71">
        <v>0.70799999999999996</v>
      </c>
      <c r="E190" s="40"/>
      <c r="F190" s="40"/>
      <c r="G190" s="40"/>
      <c r="H190" s="40"/>
      <c r="I190" s="40"/>
      <c r="J190" s="40"/>
    </row>
    <row r="191" spans="1:42" ht="15" thickBot="1" x14ac:dyDescent="0.4">
      <c r="B191" t="s">
        <v>456</v>
      </c>
      <c r="C191" t="s">
        <v>454</v>
      </c>
      <c r="D191" s="72">
        <v>650.65199999999993</v>
      </c>
      <c r="E191" s="73"/>
      <c r="F191" s="73"/>
      <c r="G191" s="73"/>
      <c r="H191" s="73"/>
      <c r="I191" s="73"/>
      <c r="J191" s="73"/>
    </row>
    <row r="192" spans="1:42" ht="15" thickBot="1" x14ac:dyDescent="0.4">
      <c r="B192" t="s">
        <v>457</v>
      </c>
      <c r="C192" t="s">
        <v>454</v>
      </c>
      <c r="D192" s="68">
        <v>268</v>
      </c>
      <c r="E192" s="55"/>
      <c r="F192" s="55"/>
      <c r="G192" s="55"/>
      <c r="H192" s="69"/>
      <c r="I192" s="56"/>
      <c r="J192" s="56"/>
    </row>
    <row r="193" spans="1:31" x14ac:dyDescent="0.35">
      <c r="B193" t="s">
        <v>458</v>
      </c>
      <c r="C193" t="s">
        <v>459</v>
      </c>
      <c r="D193" s="70">
        <v>454</v>
      </c>
      <c r="E193" s="44"/>
      <c r="F193" s="44"/>
      <c r="G193" s="44"/>
      <c r="H193" s="44"/>
      <c r="I193" s="44"/>
      <c r="J193" s="44"/>
    </row>
    <row r="194" spans="1:31" x14ac:dyDescent="0.35">
      <c r="B194" t="s">
        <v>458</v>
      </c>
      <c r="C194" t="s">
        <v>460</v>
      </c>
      <c r="D194" s="165">
        <v>32.9</v>
      </c>
      <c r="E194" s="116"/>
      <c r="F194" s="116"/>
      <c r="G194" s="116"/>
      <c r="H194" s="116"/>
      <c r="I194" s="116"/>
      <c r="J194" s="116"/>
    </row>
    <row r="195" spans="1:31" ht="18.5" x14ac:dyDescent="0.45">
      <c r="B195" s="74" t="s">
        <v>461</v>
      </c>
      <c r="D195" s="27">
        <v>117</v>
      </c>
      <c r="E195">
        <v>57</v>
      </c>
      <c r="F195">
        <v>117</v>
      </c>
      <c r="G195">
        <v>57</v>
      </c>
      <c r="H195">
        <v>57</v>
      </c>
      <c r="I195">
        <v>8</v>
      </c>
      <c r="J195">
        <v>5</v>
      </c>
      <c r="AA195" t="s">
        <v>404</v>
      </c>
      <c r="AB195" t="s">
        <v>390</v>
      </c>
      <c r="AC195" t="s">
        <v>405</v>
      </c>
      <c r="AD195" t="s">
        <v>390</v>
      </c>
      <c r="AE195" s="117" t="s">
        <v>406</v>
      </c>
    </row>
    <row r="196" spans="1:31" ht="16.5" x14ac:dyDescent="0.45">
      <c r="B196" s="2" t="s">
        <v>462</v>
      </c>
      <c r="C196" s="75" t="s">
        <v>463</v>
      </c>
      <c r="D196" s="76">
        <f>D195</f>
        <v>117</v>
      </c>
      <c r="E196" s="76">
        <f t="shared" ref="E196:J196" si="0">E195</f>
        <v>57</v>
      </c>
      <c r="F196" s="76">
        <f t="shared" si="0"/>
        <v>117</v>
      </c>
      <c r="G196" s="76">
        <f t="shared" si="0"/>
        <v>57</v>
      </c>
      <c r="H196" s="76">
        <f t="shared" si="0"/>
        <v>57</v>
      </c>
      <c r="I196" s="76">
        <f t="shared" si="0"/>
        <v>8</v>
      </c>
      <c r="J196" s="76">
        <f t="shared" si="0"/>
        <v>5</v>
      </c>
      <c r="AA196" t="s">
        <v>412</v>
      </c>
      <c r="AB196" t="s">
        <v>390</v>
      </c>
      <c r="AD196" t="s">
        <v>390</v>
      </c>
    </row>
    <row r="197" spans="1:31" ht="16.5" x14ac:dyDescent="0.45">
      <c r="B197" s="78" t="s">
        <v>464</v>
      </c>
      <c r="C197" t="s">
        <v>465</v>
      </c>
      <c r="D197" s="27"/>
      <c r="AA197" t="s">
        <v>414</v>
      </c>
      <c r="AB197" t="s">
        <v>390</v>
      </c>
      <c r="AC197" t="s">
        <v>415</v>
      </c>
      <c r="AD197" t="s">
        <v>390</v>
      </c>
    </row>
    <row r="198" spans="1:31" x14ac:dyDescent="0.35">
      <c r="B198" s="78"/>
      <c r="D198" s="27"/>
    </row>
    <row r="199" spans="1:31" x14ac:dyDescent="0.35">
      <c r="B199" s="78" t="s">
        <v>466</v>
      </c>
      <c r="C199" t="s">
        <v>467</v>
      </c>
      <c r="D199" s="27"/>
    </row>
    <row r="200" spans="1:31" x14ac:dyDescent="0.35">
      <c r="B200" s="78"/>
      <c r="C200" t="s">
        <v>468</v>
      </c>
      <c r="D200" s="27">
        <f>60*365</f>
        <v>21900</v>
      </c>
      <c r="H200">
        <f>5.8*365</f>
        <v>2117</v>
      </c>
    </row>
    <row r="201" spans="1:31" x14ac:dyDescent="0.35">
      <c r="B201" s="78"/>
      <c r="C201" t="s">
        <v>469</v>
      </c>
      <c r="D201" s="27">
        <f>16.75*365</f>
        <v>6113.75</v>
      </c>
    </row>
    <row r="202" spans="1:31" x14ac:dyDescent="0.35">
      <c r="B202" s="78"/>
      <c r="C202" t="s">
        <v>470</v>
      </c>
      <c r="D202" s="27">
        <f>37*365</f>
        <v>13505</v>
      </c>
      <c r="I202">
        <f>3*365</f>
        <v>1095</v>
      </c>
      <c r="J202">
        <f>4.5*365</f>
        <v>1642.5</v>
      </c>
    </row>
    <row r="203" spans="1:31" x14ac:dyDescent="0.35">
      <c r="B203" s="78"/>
      <c r="D203" s="27"/>
    </row>
    <row r="204" spans="1:31" x14ac:dyDescent="0.35">
      <c r="B204" s="78"/>
      <c r="D204" s="27"/>
    </row>
    <row r="205" spans="1:31" x14ac:dyDescent="0.35">
      <c r="B205" s="78"/>
      <c r="D205" s="27"/>
    </row>
    <row r="206" spans="1:31" x14ac:dyDescent="0.35">
      <c r="A206" t="s">
        <v>471</v>
      </c>
      <c r="B206" s="2" t="s">
        <v>472</v>
      </c>
      <c r="C206" s="75" t="s">
        <v>463</v>
      </c>
      <c r="D206" s="76">
        <v>5.0999999999999996</v>
      </c>
      <c r="E206" s="76">
        <v>2.6</v>
      </c>
      <c r="F206" s="77">
        <v>5.0999999999999996</v>
      </c>
      <c r="G206" s="76">
        <v>2.6</v>
      </c>
      <c r="H206" s="76">
        <v>2.6</v>
      </c>
      <c r="I206" s="76">
        <v>0.4</v>
      </c>
      <c r="J206" s="76">
        <v>0.3</v>
      </c>
    </row>
    <row r="207" spans="1:31" x14ac:dyDescent="0.35">
      <c r="B207" s="78" t="s">
        <v>473</v>
      </c>
      <c r="C207" s="75"/>
      <c r="D207" s="76">
        <v>5.47</v>
      </c>
      <c r="E207" s="75"/>
      <c r="F207" s="75"/>
      <c r="G207" s="75"/>
      <c r="H207" s="75"/>
      <c r="I207" s="75"/>
      <c r="J207" s="75"/>
    </row>
    <row r="208" spans="1:31" x14ac:dyDescent="0.35">
      <c r="B208" s="78" t="s">
        <v>474</v>
      </c>
      <c r="C208" s="98" t="s">
        <v>376</v>
      </c>
      <c r="D208" s="164">
        <v>0.20100000000000001</v>
      </c>
      <c r="E208" s="98">
        <v>0.1474</v>
      </c>
      <c r="F208" s="98">
        <v>0.1608</v>
      </c>
      <c r="G208" s="98">
        <v>0.1206</v>
      </c>
      <c r="H208" s="98">
        <v>0.1206</v>
      </c>
      <c r="I208" s="98">
        <v>0.10050000000000001</v>
      </c>
      <c r="J208" s="98">
        <v>0.1206</v>
      </c>
    </row>
    <row r="209" spans="1:10" ht="15" thickBot="1" x14ac:dyDescent="0.4">
      <c r="B209" s="2" t="s">
        <v>475</v>
      </c>
      <c r="C209" s="75" t="s">
        <v>463</v>
      </c>
      <c r="D209" s="80"/>
      <c r="E209" s="80"/>
      <c r="F209" s="81"/>
      <c r="G209" s="80"/>
      <c r="H209" s="81"/>
      <c r="I209" s="80">
        <v>0.01</v>
      </c>
      <c r="J209" s="80">
        <v>0.01</v>
      </c>
    </row>
    <row r="210" spans="1:10" ht="15" thickBot="1" x14ac:dyDescent="0.4">
      <c r="B210" s="78" t="s">
        <v>476</v>
      </c>
      <c r="C210" t="s">
        <v>146</v>
      </c>
      <c r="D210" s="95">
        <v>0.20300000000000001</v>
      </c>
      <c r="E210" s="96">
        <v>0.20300000000000001</v>
      </c>
      <c r="F210" s="96">
        <v>0.20300000000000001</v>
      </c>
      <c r="G210" s="96">
        <v>0.20300000000000001</v>
      </c>
      <c r="H210" s="95">
        <v>0.20300000000000001</v>
      </c>
      <c r="I210" s="97">
        <v>0.20300000000000001</v>
      </c>
      <c r="J210" s="97">
        <v>0.20300000000000001</v>
      </c>
    </row>
    <row r="211" spans="1:10" x14ac:dyDescent="0.35">
      <c r="B211" s="79" t="s">
        <v>477</v>
      </c>
      <c r="C211" t="s">
        <v>23</v>
      </c>
      <c r="D211" s="82">
        <v>0.03</v>
      </c>
      <c r="E211" s="82">
        <v>0.03</v>
      </c>
      <c r="F211" s="44"/>
      <c r="G211" s="44"/>
      <c r="H211" s="44"/>
      <c r="I211" s="44"/>
      <c r="J211" s="44"/>
    </row>
    <row r="212" spans="1:10" x14ac:dyDescent="0.35">
      <c r="B212" s="79" t="s">
        <v>478</v>
      </c>
      <c r="C212" t="s">
        <v>479</v>
      </c>
      <c r="D212" s="83">
        <v>0.20300000000000001</v>
      </c>
      <c r="E212" s="83">
        <v>0.20300000000000001</v>
      </c>
      <c r="F212" s="83">
        <v>0.20300000000000001</v>
      </c>
      <c r="G212" s="83">
        <v>0.20300000000000001</v>
      </c>
      <c r="H212" s="83">
        <v>0.20300000000000001</v>
      </c>
      <c r="I212" s="83">
        <v>0.20300000000000001</v>
      </c>
      <c r="J212" s="83">
        <v>0.20300000000000001</v>
      </c>
    </row>
    <row r="213" spans="1:10" x14ac:dyDescent="0.35">
      <c r="B213" s="79" t="s">
        <v>480</v>
      </c>
      <c r="D213" s="83">
        <v>0.02</v>
      </c>
      <c r="E213" s="83">
        <v>0.02</v>
      </c>
      <c r="F213" s="116"/>
      <c r="G213" s="116"/>
      <c r="H213" s="116"/>
      <c r="I213" s="116"/>
      <c r="J213" s="116"/>
    </row>
    <row r="214" spans="1:10" x14ac:dyDescent="0.35">
      <c r="B214" s="79" t="s">
        <v>481</v>
      </c>
      <c r="D214" s="83">
        <v>1.7000000000000001E-2</v>
      </c>
      <c r="E214" s="83">
        <v>1.7000000000000001E-2</v>
      </c>
      <c r="F214" s="83">
        <v>1.7000000000000001E-2</v>
      </c>
      <c r="G214" s="83">
        <v>1.7000000000000001E-2</v>
      </c>
      <c r="H214" s="83">
        <v>1.7000000000000001E-2</v>
      </c>
      <c r="I214" s="83">
        <v>1.7000000000000001E-2</v>
      </c>
      <c r="J214" s="83">
        <v>1.7000000000000001E-2</v>
      </c>
    </row>
    <row r="215" spans="1:10" x14ac:dyDescent="0.35">
      <c r="B215" s="79" t="s">
        <v>482</v>
      </c>
      <c r="D215" s="83">
        <v>0.20300000000000001</v>
      </c>
      <c r="E215" s="83">
        <v>0.20300000000000001</v>
      </c>
      <c r="F215" s="83">
        <v>0.20300000000000001</v>
      </c>
      <c r="G215" s="116"/>
      <c r="H215" s="116"/>
      <c r="I215" s="116"/>
      <c r="J215" s="116"/>
    </row>
    <row r="216" spans="1:10" x14ac:dyDescent="0.35">
      <c r="B216" s="79" t="s">
        <v>483</v>
      </c>
      <c r="D216" s="83">
        <v>0.127</v>
      </c>
      <c r="E216" s="83">
        <v>0.127</v>
      </c>
      <c r="F216" s="83">
        <v>0.127</v>
      </c>
      <c r="G216" s="116"/>
      <c r="H216" s="116"/>
      <c r="I216" s="116"/>
      <c r="J216" s="116"/>
    </row>
    <row r="217" spans="1:10" x14ac:dyDescent="0.35">
      <c r="B217" s="79" t="s">
        <v>484</v>
      </c>
      <c r="D217" s="83">
        <v>1E-3</v>
      </c>
      <c r="E217" s="83">
        <v>1E-3</v>
      </c>
      <c r="F217" s="83">
        <v>1E-3</v>
      </c>
      <c r="G217" s="116"/>
      <c r="H217" s="116"/>
      <c r="I217" s="116"/>
      <c r="J217" s="116"/>
    </row>
    <row r="218" spans="1:10" x14ac:dyDescent="0.35">
      <c r="B218" s="79" t="s">
        <v>485</v>
      </c>
      <c r="D218" s="83">
        <v>0.20300000000000001</v>
      </c>
      <c r="E218" s="83">
        <v>0.20300000000000001</v>
      </c>
      <c r="F218" s="83">
        <v>0.20300000000000001</v>
      </c>
      <c r="G218" s="116"/>
      <c r="H218" s="83">
        <v>0.20300000000000001</v>
      </c>
      <c r="I218" s="116"/>
      <c r="J218" s="116"/>
    </row>
    <row r="219" spans="1:10" x14ac:dyDescent="0.35">
      <c r="B219" s="79" t="s">
        <v>486</v>
      </c>
      <c r="D219" s="83">
        <v>3.9E-2</v>
      </c>
      <c r="E219" s="83">
        <v>3.9E-2</v>
      </c>
      <c r="F219" s="83">
        <v>3.9E-2</v>
      </c>
      <c r="G219" s="116"/>
      <c r="H219" s="83">
        <v>3.9E-2</v>
      </c>
      <c r="I219" s="116"/>
      <c r="J219" s="116"/>
    </row>
    <row r="220" spans="1:10" x14ac:dyDescent="0.35">
      <c r="B220" s="79" t="s">
        <v>487</v>
      </c>
      <c r="D220" s="83">
        <v>0.01</v>
      </c>
      <c r="E220" s="83">
        <v>0.01</v>
      </c>
      <c r="F220" s="83">
        <v>0.01</v>
      </c>
      <c r="G220" s="116"/>
      <c r="H220" s="116"/>
      <c r="I220" s="116"/>
      <c r="J220" s="83">
        <v>0.01</v>
      </c>
    </row>
    <row r="221" spans="1:10" x14ac:dyDescent="0.35">
      <c r="B221" s="79"/>
      <c r="D221" s="47"/>
      <c r="E221" s="47"/>
      <c r="F221" s="47"/>
      <c r="J221" s="47"/>
    </row>
    <row r="222" spans="1:10" x14ac:dyDescent="0.35">
      <c r="A222" t="s">
        <v>193</v>
      </c>
      <c r="B222" s="79"/>
      <c r="D222" s="47"/>
      <c r="E222" s="47"/>
      <c r="F222" s="47"/>
      <c r="J222" s="47"/>
    </row>
    <row r="223" spans="1:10" x14ac:dyDescent="0.35">
      <c r="A223" t="s">
        <v>471</v>
      </c>
      <c r="B223" s="99" t="s">
        <v>488</v>
      </c>
      <c r="C223" s="75" t="s">
        <v>463</v>
      </c>
      <c r="D223" s="76">
        <v>0.48</v>
      </c>
      <c r="E223" s="76">
        <v>0.33</v>
      </c>
      <c r="F223" s="77">
        <v>0.48</v>
      </c>
      <c r="G223" s="76">
        <v>0.33</v>
      </c>
      <c r="H223" s="76">
        <v>0.33</v>
      </c>
      <c r="I223" s="76">
        <v>0.85</v>
      </c>
      <c r="J223" s="76">
        <v>1.28</v>
      </c>
    </row>
    <row r="224" spans="1:10" x14ac:dyDescent="0.35">
      <c r="B224" t="s">
        <v>489</v>
      </c>
      <c r="D224" s="27"/>
      <c r="E224" s="27"/>
      <c r="F224" s="27"/>
      <c r="G224" s="27"/>
      <c r="H224" s="27"/>
      <c r="I224" s="27"/>
      <c r="J224" s="27"/>
    </row>
    <row r="225" spans="1:10" ht="15" thickBot="1" x14ac:dyDescent="0.4">
      <c r="B225" s="99" t="s">
        <v>490</v>
      </c>
      <c r="C225" t="s">
        <v>491</v>
      </c>
      <c r="D225" s="158">
        <v>650</v>
      </c>
      <c r="E225" s="158">
        <v>300</v>
      </c>
      <c r="F225" s="158">
        <v>750</v>
      </c>
      <c r="G225" s="158">
        <v>350</v>
      </c>
      <c r="H225" s="158">
        <v>130</v>
      </c>
      <c r="I225" s="158">
        <v>60</v>
      </c>
      <c r="J225" s="158">
        <v>75</v>
      </c>
    </row>
    <row r="226" spans="1:10" ht="15" thickBot="1" x14ac:dyDescent="0.4">
      <c r="B226" s="100" t="s">
        <v>488</v>
      </c>
      <c r="C226" t="s">
        <v>492</v>
      </c>
      <c r="D226" s="101">
        <v>113.88</v>
      </c>
      <c r="E226" s="101">
        <v>36.135000000000005</v>
      </c>
      <c r="F226" s="101">
        <v>131.4</v>
      </c>
      <c r="G226" s="101">
        <v>42.157499999999999</v>
      </c>
      <c r="H226" s="101">
        <v>15.6585</v>
      </c>
      <c r="I226" s="101">
        <v>18.614999999999998</v>
      </c>
      <c r="J226" s="102">
        <v>35.04</v>
      </c>
    </row>
    <row r="227" spans="1:10" ht="15" thickBot="1" x14ac:dyDescent="0.4">
      <c r="B227" s="79"/>
      <c r="D227" s="47"/>
      <c r="E227" s="47"/>
      <c r="F227" s="47"/>
      <c r="J227" s="47"/>
    </row>
    <row r="228" spans="1:10" ht="17" thickBot="1" x14ac:dyDescent="0.5">
      <c r="B228" s="2" t="s">
        <v>493</v>
      </c>
      <c r="C228" s="118" t="s">
        <v>494</v>
      </c>
      <c r="D228" s="84">
        <f t="shared" ref="D228:J228" si="1">D230</f>
        <v>7.0000000000000007E-2</v>
      </c>
      <c r="E228" s="84">
        <f t="shared" si="1"/>
        <v>7.0000000000000007E-2</v>
      </c>
      <c r="F228" s="84">
        <f t="shared" si="1"/>
        <v>7.0000000000000007E-2</v>
      </c>
      <c r="G228" s="68">
        <f t="shared" si="1"/>
        <v>7.0000000000000007E-2</v>
      </c>
      <c r="H228" s="85">
        <f t="shared" si="1"/>
        <v>7.0000000000000007E-2</v>
      </c>
      <c r="I228" s="85">
        <f t="shared" si="1"/>
        <v>7.0000000000000007E-2</v>
      </c>
      <c r="J228" s="85">
        <f t="shared" si="1"/>
        <v>7.0000000000000007E-2</v>
      </c>
    </row>
    <row r="229" spans="1:10" x14ac:dyDescent="0.35">
      <c r="B229" s="78" t="s">
        <v>495</v>
      </c>
    </row>
    <row r="230" spans="1:10" x14ac:dyDescent="0.35">
      <c r="B230" s="79" t="s">
        <v>496</v>
      </c>
      <c r="C230" s="103" t="s">
        <v>463</v>
      </c>
      <c r="D230" s="86">
        <v>7.0000000000000007E-2</v>
      </c>
      <c r="E230" s="86">
        <v>7.0000000000000007E-2</v>
      </c>
      <c r="F230" s="86">
        <v>7.0000000000000007E-2</v>
      </c>
      <c r="G230" s="86">
        <v>7.0000000000000007E-2</v>
      </c>
      <c r="H230" s="86">
        <v>7.0000000000000007E-2</v>
      </c>
      <c r="I230" s="86">
        <v>7.0000000000000007E-2</v>
      </c>
      <c r="J230" s="86">
        <v>7.0000000000000007E-2</v>
      </c>
    </row>
    <row r="231" spans="1:10" x14ac:dyDescent="0.35">
      <c r="B231" s="79" t="s">
        <v>497</v>
      </c>
      <c r="C231" s="103"/>
      <c r="D231" s="86">
        <v>5.0000000000000001E-3</v>
      </c>
      <c r="E231" s="86">
        <v>5.0000000000000001E-3</v>
      </c>
      <c r="F231" s="86"/>
      <c r="G231" s="86"/>
      <c r="H231" s="86"/>
      <c r="I231" s="86"/>
      <c r="J231" s="86"/>
    </row>
    <row r="232" spans="1:10" x14ac:dyDescent="0.35">
      <c r="B232" s="79" t="s">
        <v>498</v>
      </c>
      <c r="C232" s="103"/>
      <c r="D232" s="86">
        <v>5.0000000000000001E-3</v>
      </c>
      <c r="E232" s="86">
        <v>5.0000000000000001E-3</v>
      </c>
      <c r="F232" s="86">
        <v>5.0000000000000001E-3</v>
      </c>
      <c r="G232" s="86"/>
      <c r="H232" s="86"/>
      <c r="I232" s="86"/>
      <c r="J232" s="86"/>
    </row>
    <row r="233" spans="1:10" x14ac:dyDescent="0.35">
      <c r="B233" s="79" t="s">
        <v>499</v>
      </c>
      <c r="C233" s="103"/>
      <c r="D233" s="86">
        <v>0</v>
      </c>
      <c r="E233" s="86">
        <v>0</v>
      </c>
      <c r="F233" s="86">
        <v>0</v>
      </c>
      <c r="G233" s="86"/>
      <c r="H233" s="86"/>
      <c r="I233" s="86"/>
      <c r="J233" s="86"/>
    </row>
    <row r="234" spans="1:10" x14ac:dyDescent="0.35">
      <c r="B234" s="79" t="s">
        <v>500</v>
      </c>
      <c r="C234" s="103"/>
      <c r="D234" s="86">
        <v>2E-3</v>
      </c>
      <c r="E234" s="86">
        <v>2E-3</v>
      </c>
      <c r="F234" s="86">
        <v>2E-3</v>
      </c>
      <c r="G234" s="86"/>
      <c r="H234" s="86">
        <v>2E-3</v>
      </c>
      <c r="I234" s="86"/>
      <c r="J234" s="86"/>
    </row>
    <row r="235" spans="1:10" x14ac:dyDescent="0.35">
      <c r="B235" s="79" t="s">
        <v>3</v>
      </c>
      <c r="C235" s="103"/>
      <c r="D235" s="86">
        <v>0</v>
      </c>
      <c r="E235" s="86">
        <v>0</v>
      </c>
      <c r="F235" s="86">
        <v>0</v>
      </c>
      <c r="G235" s="86">
        <v>0</v>
      </c>
      <c r="H235" s="86">
        <v>0</v>
      </c>
      <c r="I235" s="86">
        <v>0</v>
      </c>
      <c r="J235" s="86">
        <v>0</v>
      </c>
    </row>
    <row r="236" spans="1:10" x14ac:dyDescent="0.35">
      <c r="A236" t="s">
        <v>501</v>
      </c>
      <c r="B236" s="79"/>
      <c r="D236" s="47"/>
      <c r="E236" s="47"/>
      <c r="F236" s="47"/>
      <c r="J236" s="47"/>
    </row>
    <row r="237" spans="1:10" x14ac:dyDescent="0.35">
      <c r="A237" t="s">
        <v>23</v>
      </c>
      <c r="B237" s="79" t="s">
        <v>502</v>
      </c>
      <c r="C237">
        <v>19.2</v>
      </c>
      <c r="D237" s="47" t="s">
        <v>491</v>
      </c>
      <c r="E237" s="47"/>
      <c r="F237" s="47"/>
      <c r="J237" s="47"/>
    </row>
    <row r="238" spans="1:10" x14ac:dyDescent="0.35">
      <c r="B238" s="79" t="s">
        <v>503</v>
      </c>
      <c r="C238">
        <v>16.899999999999999</v>
      </c>
      <c r="D238" s="47"/>
      <c r="E238" s="47"/>
      <c r="F238" s="47"/>
      <c r="J238" s="47"/>
    </row>
    <row r="239" spans="1:10" x14ac:dyDescent="0.35">
      <c r="A239" t="s">
        <v>504</v>
      </c>
      <c r="B239" s="79" t="s">
        <v>505</v>
      </c>
      <c r="C239">
        <v>6.9</v>
      </c>
      <c r="D239" s="47"/>
      <c r="E239" s="47"/>
      <c r="F239" s="47"/>
      <c r="J239" s="47"/>
    </row>
    <row r="240" spans="1:10" x14ac:dyDescent="0.35">
      <c r="B240" s="79" t="s">
        <v>503</v>
      </c>
      <c r="C240">
        <v>6.2</v>
      </c>
      <c r="D240" s="47"/>
      <c r="E240" s="47"/>
      <c r="F240" s="47"/>
      <c r="J240" s="47"/>
    </row>
    <row r="241" spans="1:63" x14ac:dyDescent="0.35">
      <c r="A241" t="s">
        <v>506</v>
      </c>
      <c r="B241" s="13" t="s">
        <v>144</v>
      </c>
      <c r="C241" s="13" t="s">
        <v>507</v>
      </c>
      <c r="D241" s="47"/>
      <c r="E241" s="47"/>
      <c r="F241" s="47"/>
      <c r="J241" s="47"/>
    </row>
    <row r="242" spans="1:63" x14ac:dyDescent="0.35">
      <c r="A242" t="s">
        <v>508</v>
      </c>
      <c r="B242" s="13">
        <v>0.65</v>
      </c>
      <c r="C242" s="13">
        <v>0.35</v>
      </c>
      <c r="D242" s="47"/>
      <c r="E242" s="47"/>
      <c r="F242" s="47"/>
      <c r="J242" s="47"/>
    </row>
    <row r="243" spans="1:63" x14ac:dyDescent="0.35">
      <c r="A243" t="s">
        <v>509</v>
      </c>
      <c r="B243" s="13">
        <v>0.4</v>
      </c>
      <c r="C243" s="13">
        <v>0.6</v>
      </c>
      <c r="D243" s="47"/>
      <c r="E243" s="47"/>
      <c r="F243" s="47"/>
      <c r="J243" s="47"/>
    </row>
    <row r="244" spans="1:63" x14ac:dyDescent="0.35">
      <c r="A244" t="s">
        <v>510</v>
      </c>
      <c r="B244" s="13"/>
      <c r="C244" s="13"/>
      <c r="D244" s="47"/>
      <c r="E244" s="47"/>
      <c r="F244" s="47"/>
      <c r="J244" s="47"/>
    </row>
    <row r="245" spans="1:63" x14ac:dyDescent="0.35">
      <c r="A245" t="s">
        <v>508</v>
      </c>
      <c r="B245" s="13">
        <v>0.8</v>
      </c>
      <c r="C245" s="13"/>
      <c r="D245" s="47"/>
      <c r="E245" s="47"/>
      <c r="F245" s="47"/>
      <c r="J245" s="47"/>
    </row>
    <row r="246" spans="1:63" x14ac:dyDescent="0.35">
      <c r="A246" t="s">
        <v>509</v>
      </c>
      <c r="B246" s="13"/>
      <c r="C246" s="13"/>
      <c r="D246" s="47"/>
      <c r="E246" s="47"/>
      <c r="F246" s="47"/>
      <c r="J246" s="47"/>
    </row>
    <row r="247" spans="1:63" ht="26" x14ac:dyDescent="0.6">
      <c r="A247" s="387" t="s">
        <v>511</v>
      </c>
      <c r="B247" s="387"/>
      <c r="C247" s="387"/>
      <c r="D247" s="387"/>
      <c r="E247" s="387"/>
      <c r="F247" s="387"/>
      <c r="G247" s="387"/>
      <c r="H247" s="387"/>
      <c r="I247" s="387"/>
      <c r="J247" s="387"/>
      <c r="K247" s="387"/>
      <c r="L247" s="387"/>
      <c r="M247" s="387"/>
      <c r="N247" s="387"/>
      <c r="O247" s="381" t="s">
        <v>512</v>
      </c>
      <c r="P247" s="381"/>
      <c r="Q247" s="381"/>
      <c r="R247" s="381"/>
      <c r="S247" s="381"/>
      <c r="T247" s="381"/>
      <c r="U247" s="381"/>
      <c r="V247" s="381"/>
      <c r="W247" s="381"/>
      <c r="X247" s="381"/>
      <c r="Y247" s="381"/>
      <c r="Z247" s="383" t="s">
        <v>513</v>
      </c>
      <c r="AA247" s="383"/>
      <c r="AB247" s="383"/>
      <c r="AC247" s="383"/>
      <c r="AD247" s="383"/>
      <c r="AE247" s="383"/>
      <c r="AF247" s="383"/>
      <c r="AG247" s="383"/>
      <c r="AH247" s="383"/>
      <c r="AI247" s="151"/>
      <c r="AJ247" s="151"/>
      <c r="AK247" s="381" t="s">
        <v>514</v>
      </c>
      <c r="AL247" s="381"/>
      <c r="AM247" s="381"/>
      <c r="AN247" s="381"/>
      <c r="AO247" s="381"/>
      <c r="AP247" s="381"/>
      <c r="AQ247" s="381"/>
      <c r="AR247" s="381"/>
      <c r="AS247" s="381"/>
      <c r="AT247" s="380" t="s">
        <v>515</v>
      </c>
      <c r="AU247" s="380"/>
      <c r="AV247" s="380"/>
      <c r="AW247" s="380"/>
      <c r="AX247" s="380"/>
      <c r="AY247" s="380"/>
      <c r="AZ247" s="380"/>
      <c r="BA247" s="380"/>
      <c r="BB247" s="380"/>
      <c r="BC247" s="380"/>
      <c r="BD247" s="380"/>
      <c r="BE247" s="380"/>
      <c r="BF247" s="380"/>
      <c r="BG247" s="380"/>
      <c r="BH247" s="380"/>
      <c r="BI247" s="380"/>
      <c r="BJ247" s="380"/>
      <c r="BK247" t="s">
        <v>516</v>
      </c>
    </row>
    <row r="248" spans="1:63" ht="23.5" x14ac:dyDescent="0.55000000000000004">
      <c r="A248" s="382" t="s">
        <v>1</v>
      </c>
      <c r="B248" s="382"/>
      <c r="C248" s="382"/>
      <c r="D248" s="382"/>
      <c r="E248" s="382"/>
      <c r="F248" s="382"/>
      <c r="G248" s="382"/>
      <c r="H248" s="382"/>
      <c r="I248" s="382"/>
      <c r="J248" s="382"/>
      <c r="K248" s="382"/>
      <c r="L248" s="382"/>
      <c r="M248" s="382"/>
      <c r="N248" s="382"/>
      <c r="O248" s="382" t="s">
        <v>1</v>
      </c>
      <c r="P248" s="382"/>
      <c r="Q248" s="382"/>
      <c r="R248" s="382"/>
      <c r="S248" s="382"/>
      <c r="T248" s="382"/>
      <c r="U248" s="382"/>
      <c r="V248" s="382"/>
      <c r="W248" s="382"/>
      <c r="X248" s="382"/>
      <c r="Y248" s="382"/>
      <c r="Z248" s="382" t="s">
        <v>1</v>
      </c>
      <c r="AA248" s="382"/>
      <c r="AB248" s="382"/>
      <c r="AC248" s="382"/>
      <c r="AD248" s="382"/>
      <c r="AE248" s="382"/>
      <c r="AF248" s="382"/>
      <c r="AG248" s="382"/>
      <c r="AH248" s="382" t="s">
        <v>1</v>
      </c>
      <c r="AI248" s="382"/>
      <c r="AJ248" s="382"/>
      <c r="AK248" s="382"/>
      <c r="AL248" s="382"/>
      <c r="AM248" s="382"/>
      <c r="AN248" s="382"/>
      <c r="AO248" s="382"/>
      <c r="AP248" s="382"/>
      <c r="AQ248" s="382"/>
      <c r="AR248" s="382"/>
      <c r="AS248" s="382"/>
      <c r="AT248" s="148"/>
      <c r="AU248" s="382" t="s">
        <v>517</v>
      </c>
      <c r="AV248" s="382"/>
      <c r="AW248" s="382"/>
      <c r="AX248" s="382"/>
      <c r="AY248" s="382"/>
      <c r="AZ248" s="382"/>
      <c r="BA248" s="382" t="s">
        <v>1</v>
      </c>
      <c r="BB248" s="382"/>
      <c r="BC248" s="382"/>
      <c r="BD248" s="382"/>
      <c r="BE248" s="382"/>
      <c r="BF248" s="382"/>
      <c r="BG248" s="382"/>
      <c r="BH248" s="382"/>
      <c r="BI248" s="382"/>
      <c r="BJ248" s="382"/>
      <c r="BK248" s="382"/>
    </row>
    <row r="249" spans="1:63" x14ac:dyDescent="0.35">
      <c r="A249" t="s">
        <v>518</v>
      </c>
      <c r="B249" t="s">
        <v>519</v>
      </c>
      <c r="C249" s="351" t="s">
        <v>520</v>
      </c>
      <c r="D249" s="351"/>
      <c r="E249" s="351" t="s">
        <v>521</v>
      </c>
      <c r="F249" s="351"/>
      <c r="G249" s="13"/>
      <c r="H249" s="351" t="s">
        <v>522</v>
      </c>
      <c r="I249" s="351"/>
      <c r="J249" s="351" t="s">
        <v>523</v>
      </c>
      <c r="K249" s="351"/>
      <c r="L249" t="s">
        <v>442</v>
      </c>
      <c r="Q249" s="351" t="s">
        <v>520</v>
      </c>
      <c r="R249" s="351"/>
      <c r="S249" s="351" t="s">
        <v>521</v>
      </c>
      <c r="T249" s="351"/>
      <c r="U249" s="351" t="s">
        <v>522</v>
      </c>
      <c r="V249" s="351"/>
      <c r="W249" s="351" t="s">
        <v>524</v>
      </c>
      <c r="X249" s="351"/>
      <c r="AA249" s="351" t="s">
        <v>520</v>
      </c>
      <c r="AB249" s="351"/>
      <c r="AC249" s="351" t="s">
        <v>521</v>
      </c>
      <c r="AD249" s="351"/>
      <c r="AE249" s="351" t="s">
        <v>522</v>
      </c>
      <c r="AF249" s="351"/>
      <c r="AG249" s="351" t="s">
        <v>524</v>
      </c>
      <c r="AH249" s="351"/>
      <c r="AI249" s="351" t="s">
        <v>525</v>
      </c>
      <c r="AJ249" s="351"/>
      <c r="AL249" s="351" t="s">
        <v>520</v>
      </c>
      <c r="AM249" s="351"/>
      <c r="AN249" s="351" t="s">
        <v>521</v>
      </c>
      <c r="AO249" s="351"/>
      <c r="AP249" s="351" t="s">
        <v>522</v>
      </c>
      <c r="AQ249" s="351"/>
      <c r="AR249" s="351" t="s">
        <v>524</v>
      </c>
      <c r="AS249" s="351"/>
      <c r="AT249" s="13"/>
      <c r="AU249" s="351" t="s">
        <v>520</v>
      </c>
      <c r="AV249" s="351"/>
      <c r="AW249" s="351" t="s">
        <v>522</v>
      </c>
      <c r="AX249" s="351"/>
      <c r="AY249" s="351" t="s">
        <v>523</v>
      </c>
      <c r="AZ249" s="351"/>
      <c r="BB249" s="351" t="s">
        <v>523</v>
      </c>
      <c r="BC249" s="351"/>
      <c r="BJ249" s="351" t="s">
        <v>526</v>
      </c>
      <c r="BK249" s="351"/>
    </row>
    <row r="250" spans="1:63" x14ac:dyDescent="0.35">
      <c r="C250" t="s">
        <v>527</v>
      </c>
      <c r="D250" t="s">
        <v>528</v>
      </c>
      <c r="E250" t="s">
        <v>527</v>
      </c>
      <c r="F250" t="s">
        <v>528</v>
      </c>
      <c r="H250" t="s">
        <v>527</v>
      </c>
      <c r="I250" t="s">
        <v>528</v>
      </c>
      <c r="J250" t="s">
        <v>527</v>
      </c>
      <c r="K250" t="s">
        <v>528</v>
      </c>
      <c r="Q250" t="s">
        <v>527</v>
      </c>
      <c r="R250" t="s">
        <v>528</v>
      </c>
      <c r="S250" t="s">
        <v>527</v>
      </c>
      <c r="T250" t="s">
        <v>528</v>
      </c>
      <c r="U250" t="s">
        <v>527</v>
      </c>
      <c r="V250" t="s">
        <v>528</v>
      </c>
      <c r="W250" t="s">
        <v>527</v>
      </c>
      <c r="X250" t="s">
        <v>528</v>
      </c>
      <c r="AA250" t="s">
        <v>527</v>
      </c>
      <c r="AB250" t="s">
        <v>528</v>
      </c>
      <c r="AC250" t="s">
        <v>527</v>
      </c>
      <c r="AD250" t="s">
        <v>528</v>
      </c>
      <c r="AE250" t="s">
        <v>527</v>
      </c>
      <c r="AF250" t="s">
        <v>528</v>
      </c>
      <c r="AG250" t="s">
        <v>527</v>
      </c>
      <c r="AH250" t="s">
        <v>528</v>
      </c>
      <c r="AI250" t="s">
        <v>527</v>
      </c>
      <c r="AJ250" t="s">
        <v>528</v>
      </c>
      <c r="AL250" t="s">
        <v>527</v>
      </c>
      <c r="AM250" t="s">
        <v>528</v>
      </c>
      <c r="AN250" t="s">
        <v>527</v>
      </c>
      <c r="AO250" t="s">
        <v>528</v>
      </c>
      <c r="AP250" t="s">
        <v>527</v>
      </c>
      <c r="AQ250" t="s">
        <v>528</v>
      </c>
      <c r="AR250" t="s">
        <v>527</v>
      </c>
      <c r="AS250" t="s">
        <v>528</v>
      </c>
      <c r="AU250" t="s">
        <v>527</v>
      </c>
      <c r="AV250" t="s">
        <v>528</v>
      </c>
      <c r="AW250" t="s">
        <v>527</v>
      </c>
      <c r="AX250" t="s">
        <v>528</v>
      </c>
      <c r="AY250" t="s">
        <v>527</v>
      </c>
      <c r="AZ250" t="s">
        <v>528</v>
      </c>
      <c r="BB250" t="s">
        <v>527</v>
      </c>
      <c r="BC250" t="s">
        <v>528</v>
      </c>
      <c r="BJ250" t="s">
        <v>527</v>
      </c>
    </row>
    <row r="251" spans="1:63" x14ac:dyDescent="0.35">
      <c r="A251" t="s">
        <v>529</v>
      </c>
      <c r="B251" t="s">
        <v>530</v>
      </c>
      <c r="C251" s="4" t="s">
        <v>531</v>
      </c>
      <c r="H251" t="s">
        <v>532</v>
      </c>
      <c r="I251">
        <v>0.15409999999999999</v>
      </c>
      <c r="J251" t="s">
        <v>533</v>
      </c>
      <c r="K251">
        <v>0.35</v>
      </c>
      <c r="O251" t="s">
        <v>534</v>
      </c>
      <c r="Q251" t="s">
        <v>535</v>
      </c>
      <c r="R251">
        <f>E44</f>
        <v>2E-3</v>
      </c>
      <c r="Z251" t="s">
        <v>536</v>
      </c>
      <c r="AA251" t="s">
        <v>537</v>
      </c>
      <c r="AB251">
        <f>E$50</f>
        <v>1E-3</v>
      </c>
      <c r="AE251" t="s">
        <v>538</v>
      </c>
      <c r="AF251">
        <f>E28</f>
        <v>1.8499999999999999E-2</v>
      </c>
      <c r="AG251" t="s">
        <v>539</v>
      </c>
      <c r="AH251">
        <v>0.11</v>
      </c>
      <c r="AK251" t="s">
        <v>6</v>
      </c>
      <c r="AT251" t="s">
        <v>540</v>
      </c>
      <c r="AU251" t="s">
        <v>541</v>
      </c>
      <c r="AV251">
        <v>0</v>
      </c>
      <c r="AW251" t="s">
        <v>542</v>
      </c>
      <c r="AX251">
        <v>0.06</v>
      </c>
      <c r="AY251" t="s">
        <v>543</v>
      </c>
      <c r="AZ251">
        <v>0.11</v>
      </c>
      <c r="BA251" t="s">
        <v>544</v>
      </c>
      <c r="BB251" t="s">
        <v>545</v>
      </c>
      <c r="BC251">
        <v>0.2</v>
      </c>
      <c r="BI251" t="s">
        <v>546</v>
      </c>
      <c r="BJ251" t="s">
        <v>547</v>
      </c>
    </row>
    <row r="252" spans="1:63" x14ac:dyDescent="0.35">
      <c r="A252" t="s">
        <v>529</v>
      </c>
      <c r="B252" t="s">
        <v>548</v>
      </c>
      <c r="C252" t="s">
        <v>549</v>
      </c>
      <c r="D252">
        <f>E47</f>
        <v>7.0000000000000007E-2</v>
      </c>
      <c r="H252" t="s">
        <v>550</v>
      </c>
      <c r="I252">
        <f>E24</f>
        <v>0.2</v>
      </c>
      <c r="J252" t="s">
        <v>551</v>
      </c>
      <c r="K252">
        <f>E62</f>
        <v>0.25</v>
      </c>
      <c r="O252" t="s">
        <v>552</v>
      </c>
      <c r="Z252" t="s">
        <v>553</v>
      </c>
      <c r="AA252" t="s">
        <v>537</v>
      </c>
      <c r="AB252">
        <f>E$50</f>
        <v>1E-3</v>
      </c>
      <c r="AE252" t="s">
        <v>538</v>
      </c>
      <c r="AF252">
        <f>E30</f>
        <v>1.21E-2</v>
      </c>
      <c r="AG252" t="s">
        <v>554</v>
      </c>
      <c r="AH252">
        <v>0.11</v>
      </c>
      <c r="AK252" t="s">
        <v>7</v>
      </c>
      <c r="AL252" t="s">
        <v>555</v>
      </c>
      <c r="AM252">
        <f>J60</f>
        <v>0</v>
      </c>
      <c r="AP252" t="s">
        <v>556</v>
      </c>
      <c r="AQ252">
        <f>J59</f>
        <v>4.1000000000000003E-3</v>
      </c>
      <c r="AT252" t="s">
        <v>557</v>
      </c>
      <c r="AU252" t="s">
        <v>541</v>
      </c>
      <c r="AV252">
        <v>0</v>
      </c>
      <c r="AW252" t="s">
        <v>542</v>
      </c>
      <c r="AX252">
        <v>0.06</v>
      </c>
      <c r="AY252" t="s">
        <v>543</v>
      </c>
      <c r="AZ252">
        <v>0.11</v>
      </c>
      <c r="BA252" t="s">
        <v>558</v>
      </c>
      <c r="BB252" t="s">
        <v>545</v>
      </c>
      <c r="BC252">
        <v>0.1</v>
      </c>
      <c r="BI252" t="s">
        <v>4</v>
      </c>
      <c r="BJ252" t="s">
        <v>559</v>
      </c>
    </row>
    <row r="253" spans="1:63" x14ac:dyDescent="0.35">
      <c r="A253" t="s">
        <v>529</v>
      </c>
      <c r="B253" t="s">
        <v>560</v>
      </c>
      <c r="C253" t="s">
        <v>561</v>
      </c>
      <c r="D253">
        <f>E49</f>
        <v>0.04</v>
      </c>
      <c r="H253" t="s">
        <v>562</v>
      </c>
      <c r="I253" t="str">
        <f>E27</f>
        <v>A revoir avec Annie SOULIER</v>
      </c>
      <c r="J253" t="s">
        <v>563</v>
      </c>
      <c r="K253">
        <f>E63</f>
        <v>0.31</v>
      </c>
      <c r="O253" t="s">
        <v>10</v>
      </c>
      <c r="Q253" t="s">
        <v>564</v>
      </c>
      <c r="R253">
        <f>E45</f>
        <v>0</v>
      </c>
      <c r="Z253" t="s">
        <v>565</v>
      </c>
      <c r="AA253" t="s">
        <v>566</v>
      </c>
      <c r="AB253">
        <f>E51</f>
        <v>7.0000000000000001E-3</v>
      </c>
      <c r="AE253" t="s">
        <v>567</v>
      </c>
      <c r="AF253">
        <f>E42</f>
        <v>5.7000000000000002E-2</v>
      </c>
      <c r="AG253" t="s">
        <v>568</v>
      </c>
      <c r="AH253">
        <f>E67</f>
        <v>2.3E-2</v>
      </c>
      <c r="AK253" t="s">
        <v>4</v>
      </c>
      <c r="AP253" t="s">
        <v>569</v>
      </c>
      <c r="AQ253">
        <f>J62</f>
        <v>7.4399999999999998E-4</v>
      </c>
      <c r="AT253" t="s">
        <v>570</v>
      </c>
      <c r="AU253" t="s">
        <v>541</v>
      </c>
      <c r="AV253">
        <v>0</v>
      </c>
      <c r="AW253" t="s">
        <v>542</v>
      </c>
      <c r="AX253">
        <v>0.06</v>
      </c>
      <c r="AY253" t="s">
        <v>543</v>
      </c>
      <c r="AZ253">
        <v>0.28999999999999998</v>
      </c>
      <c r="BA253" t="s">
        <v>571</v>
      </c>
      <c r="BB253" t="s">
        <v>545</v>
      </c>
      <c r="BC253">
        <v>0.05</v>
      </c>
      <c r="BI253" t="s">
        <v>5</v>
      </c>
      <c r="BJ253" t="s">
        <v>572</v>
      </c>
    </row>
    <row r="254" spans="1:63" x14ac:dyDescent="0.35">
      <c r="A254" t="s">
        <v>573</v>
      </c>
      <c r="B254" t="s">
        <v>530</v>
      </c>
      <c r="C254" s="4" t="s">
        <v>531</v>
      </c>
      <c r="H254" t="s">
        <v>532</v>
      </c>
      <c r="I254">
        <v>9.2499999999999999E-2</v>
      </c>
      <c r="J254" t="s">
        <v>574</v>
      </c>
      <c r="K254">
        <v>0.27</v>
      </c>
      <c r="O254" t="s">
        <v>9</v>
      </c>
      <c r="Q254" t="s">
        <v>564</v>
      </c>
      <c r="R254">
        <f>E45</f>
        <v>0</v>
      </c>
      <c r="Z254" t="s">
        <v>575</v>
      </c>
      <c r="AA254" t="s">
        <v>576</v>
      </c>
      <c r="AB254">
        <v>0</v>
      </c>
      <c r="AE254" t="s">
        <v>577</v>
      </c>
      <c r="AF254">
        <f>J59</f>
        <v>4.1000000000000003E-3</v>
      </c>
      <c r="AG254" t="s">
        <v>578</v>
      </c>
      <c r="AI254" t="s">
        <v>579</v>
      </c>
      <c r="AJ254">
        <f>J27</f>
        <v>9.1999999999999998E-2</v>
      </c>
      <c r="AK254" t="s">
        <v>12</v>
      </c>
      <c r="AN254" t="s">
        <v>580</v>
      </c>
      <c r="AP254" t="s">
        <v>581</v>
      </c>
    </row>
    <row r="255" spans="1:63" x14ac:dyDescent="0.35">
      <c r="A255" t="s">
        <v>573</v>
      </c>
      <c r="B255" t="s">
        <v>548</v>
      </c>
      <c r="C255" t="s">
        <v>549</v>
      </c>
      <c r="D255">
        <f>E47</f>
        <v>7.0000000000000007E-2</v>
      </c>
      <c r="H255" t="s">
        <v>550</v>
      </c>
      <c r="I255">
        <f>I252</f>
        <v>0.2</v>
      </c>
      <c r="J255" t="s">
        <v>582</v>
      </c>
      <c r="K255">
        <f>E64</f>
        <v>0.27</v>
      </c>
      <c r="O255" t="s">
        <v>583</v>
      </c>
      <c r="Q255" t="s">
        <v>584</v>
      </c>
      <c r="R255">
        <v>3.2000000000000001E-2</v>
      </c>
      <c r="W255" t="s">
        <v>585</v>
      </c>
      <c r="X255">
        <v>0.45</v>
      </c>
      <c r="Z255" t="s">
        <v>586</v>
      </c>
      <c r="AA255" t="s">
        <v>587</v>
      </c>
      <c r="AB255">
        <v>0</v>
      </c>
      <c r="AE255" t="s">
        <v>588</v>
      </c>
      <c r="AF255">
        <f>J59</f>
        <v>4.1000000000000003E-3</v>
      </c>
      <c r="AG255" t="s">
        <v>578</v>
      </c>
      <c r="AI255" t="s">
        <v>589</v>
      </c>
      <c r="AJ255">
        <f>J27</f>
        <v>9.1999999999999998E-2</v>
      </c>
    </row>
    <row r="256" spans="1:63" x14ac:dyDescent="0.35">
      <c r="A256" t="s">
        <v>573</v>
      </c>
      <c r="B256" t="s">
        <v>560</v>
      </c>
      <c r="C256" t="s">
        <v>590</v>
      </c>
      <c r="D256">
        <f>E49</f>
        <v>0.04</v>
      </c>
      <c r="H256" t="s">
        <v>562</v>
      </c>
      <c r="I256" t="str">
        <f>I253</f>
        <v>A revoir avec Annie SOULIER</v>
      </c>
      <c r="J256" t="s">
        <v>563</v>
      </c>
      <c r="K256">
        <f>E63</f>
        <v>0.31</v>
      </c>
      <c r="Z256" t="s">
        <v>591</v>
      </c>
      <c r="AA256" t="s">
        <v>587</v>
      </c>
      <c r="AB256">
        <v>0</v>
      </c>
      <c r="AE256" t="s">
        <v>592</v>
      </c>
      <c r="AF256">
        <f>J59</f>
        <v>4.1000000000000003E-3</v>
      </c>
      <c r="AG256" t="s">
        <v>578</v>
      </c>
      <c r="AI256" t="s">
        <v>589</v>
      </c>
      <c r="AJ256">
        <f>J27</f>
        <v>9.1999999999999998E-2</v>
      </c>
    </row>
    <row r="257" spans="1:62" x14ac:dyDescent="0.35">
      <c r="A257" t="s">
        <v>101</v>
      </c>
      <c r="B257" t="s">
        <v>530</v>
      </c>
      <c r="C257" s="4" t="s">
        <v>531</v>
      </c>
      <c r="H257" t="s">
        <v>532</v>
      </c>
      <c r="I257">
        <v>5.2600000000000001E-2</v>
      </c>
      <c r="Z257" t="s">
        <v>68</v>
      </c>
      <c r="AA257" t="s">
        <v>593</v>
      </c>
      <c r="AB257">
        <f>E52</f>
        <v>0.06</v>
      </c>
      <c r="AE257" t="s">
        <v>594</v>
      </c>
      <c r="AF257">
        <f>E31</f>
        <v>0.06</v>
      </c>
      <c r="AG257" t="s">
        <v>595</v>
      </c>
      <c r="AH257">
        <v>0.1</v>
      </c>
    </row>
    <row r="258" spans="1:62" x14ac:dyDescent="0.35">
      <c r="A258" t="s">
        <v>101</v>
      </c>
      <c r="B258" t="s">
        <v>548</v>
      </c>
      <c r="C258" t="s">
        <v>596</v>
      </c>
      <c r="D258">
        <f>E47</f>
        <v>7.0000000000000007E-2</v>
      </c>
      <c r="H258" t="s">
        <v>550</v>
      </c>
      <c r="I258">
        <f>I252</f>
        <v>0.2</v>
      </c>
    </row>
    <row r="259" spans="1:62" x14ac:dyDescent="0.35">
      <c r="A259" t="s">
        <v>101</v>
      </c>
      <c r="B259" t="s">
        <v>560</v>
      </c>
      <c r="C259" t="s">
        <v>561</v>
      </c>
      <c r="D259">
        <f>E49</f>
        <v>0.04</v>
      </c>
      <c r="H259" t="s">
        <v>562</v>
      </c>
      <c r="I259" t="str">
        <f>I253</f>
        <v>A revoir avec Annie SOULIER</v>
      </c>
    </row>
    <row r="260" spans="1:62" ht="23.5" x14ac:dyDescent="0.55000000000000004">
      <c r="A260" s="385" t="s">
        <v>16</v>
      </c>
      <c r="B260" s="385"/>
      <c r="C260" s="385"/>
      <c r="D260" s="385"/>
      <c r="E260" s="385"/>
      <c r="F260" s="385"/>
      <c r="G260" s="385"/>
      <c r="H260" s="385"/>
      <c r="I260" s="385"/>
      <c r="J260" s="385"/>
      <c r="K260" s="385"/>
      <c r="L260" s="385"/>
      <c r="M260" s="385"/>
      <c r="N260" s="385"/>
      <c r="O260" s="385" t="s">
        <v>16</v>
      </c>
      <c r="P260" s="385"/>
      <c r="Q260" s="385"/>
      <c r="R260" s="385"/>
      <c r="S260" s="385"/>
      <c r="T260" s="385"/>
      <c r="U260" s="385"/>
      <c r="V260" s="385"/>
      <c r="W260" s="385"/>
      <c r="X260" s="385"/>
      <c r="Y260" s="385"/>
      <c r="Z260" s="385" t="s">
        <v>16</v>
      </c>
      <c r="AA260" s="385"/>
      <c r="AB260" s="385"/>
      <c r="AC260" s="385"/>
      <c r="AD260" s="385"/>
      <c r="AE260" s="385"/>
      <c r="AF260" s="385"/>
      <c r="AG260" s="385"/>
      <c r="AH260" s="385"/>
      <c r="AI260" s="385"/>
      <c r="AJ260" s="385"/>
      <c r="AK260" s="385"/>
      <c r="AL260" s="385" t="s">
        <v>16</v>
      </c>
      <c r="AM260" s="385"/>
      <c r="AN260" s="385"/>
      <c r="AO260" s="385"/>
      <c r="AP260" s="385"/>
      <c r="AQ260" s="385"/>
      <c r="AR260" s="385"/>
      <c r="AS260" s="385"/>
      <c r="AT260" s="385"/>
      <c r="AU260" s="385"/>
      <c r="AV260" s="385"/>
      <c r="AW260" s="385"/>
      <c r="AX260" s="385"/>
      <c r="AY260" s="385"/>
      <c r="AZ260" s="385"/>
      <c r="BA260" s="385"/>
      <c r="BB260" s="385" t="s">
        <v>16</v>
      </c>
      <c r="BC260" s="385"/>
      <c r="BD260" s="385"/>
      <c r="BE260" s="385"/>
      <c r="BF260" s="385"/>
      <c r="BG260" s="385"/>
      <c r="BH260" s="385"/>
      <c r="BI260" s="385"/>
      <c r="BJ260" s="385"/>
    </row>
    <row r="261" spans="1:62" x14ac:dyDescent="0.35">
      <c r="A261" t="s">
        <v>518</v>
      </c>
      <c r="B261" t="s">
        <v>519</v>
      </c>
      <c r="C261" t="s">
        <v>527</v>
      </c>
      <c r="I261" t="s">
        <v>597</v>
      </c>
      <c r="L261" t="s">
        <v>442</v>
      </c>
    </row>
    <row r="262" spans="1:62" x14ac:dyDescent="0.35">
      <c r="A262" t="s">
        <v>598</v>
      </c>
    </row>
    <row r="263" spans="1:62" x14ac:dyDescent="0.35">
      <c r="A263" t="s">
        <v>599</v>
      </c>
    </row>
    <row r="264" spans="1:62" x14ac:dyDescent="0.35">
      <c r="A264" t="s">
        <v>600</v>
      </c>
    </row>
    <row r="265" spans="1:62" x14ac:dyDescent="0.35">
      <c r="A265" t="s">
        <v>601</v>
      </c>
    </row>
    <row r="268" spans="1:62" ht="23.5" x14ac:dyDescent="0.55000000000000004">
      <c r="A268" s="386" t="s">
        <v>602</v>
      </c>
      <c r="B268" s="386"/>
      <c r="C268" s="386"/>
      <c r="D268" s="386"/>
      <c r="E268" s="386"/>
      <c r="F268" s="386"/>
      <c r="G268" s="386"/>
      <c r="H268" s="386"/>
      <c r="I268" s="386"/>
      <c r="J268" s="386"/>
      <c r="K268" s="386"/>
      <c r="L268" s="386"/>
      <c r="M268" s="386"/>
      <c r="N268" s="386"/>
      <c r="O268" s="386" t="s">
        <v>602</v>
      </c>
      <c r="P268" s="386"/>
      <c r="Q268" s="386"/>
      <c r="R268" s="386"/>
      <c r="S268" s="386"/>
      <c r="T268" s="386"/>
      <c r="U268" s="386"/>
      <c r="V268" s="386"/>
      <c r="W268" s="386"/>
      <c r="X268" s="386"/>
      <c r="Y268" s="386"/>
      <c r="Z268" s="386" t="s">
        <v>602</v>
      </c>
      <c r="AA268" s="386"/>
      <c r="AB268" s="386"/>
      <c r="AC268" s="386"/>
      <c r="AD268" s="386"/>
      <c r="AE268" s="386"/>
      <c r="AF268" s="386"/>
      <c r="AG268" s="386"/>
      <c r="AH268" s="386"/>
      <c r="AI268" s="149"/>
      <c r="AJ268" s="149"/>
      <c r="AK268" s="386" t="s">
        <v>602</v>
      </c>
      <c r="AL268" s="386"/>
      <c r="AM268" s="386"/>
      <c r="AN268" s="386"/>
      <c r="AO268" s="386"/>
      <c r="AP268" s="386"/>
      <c r="AQ268" s="386"/>
      <c r="AR268" s="386"/>
      <c r="AS268" s="386"/>
      <c r="AT268" s="149"/>
      <c r="AU268" s="149"/>
      <c r="AV268" s="149"/>
      <c r="AW268" s="149"/>
      <c r="AX268" s="149"/>
      <c r="AY268" s="149"/>
      <c r="AZ268" s="149"/>
      <c r="BA268" s="386" t="s">
        <v>602</v>
      </c>
      <c r="BB268" s="386"/>
      <c r="BC268" s="386"/>
      <c r="BD268" s="386"/>
      <c r="BE268" s="386"/>
      <c r="BF268" s="386"/>
      <c r="BG268" s="386"/>
      <c r="BH268" s="386"/>
      <c r="BI268" s="386"/>
      <c r="BJ268" s="386"/>
    </row>
    <row r="284" spans="1:62" ht="26" x14ac:dyDescent="0.6">
      <c r="A284" s="387" t="s">
        <v>603</v>
      </c>
      <c r="B284" s="387"/>
      <c r="C284" s="387"/>
      <c r="D284" s="387"/>
      <c r="E284" s="387"/>
      <c r="F284" s="387"/>
      <c r="G284" s="387"/>
      <c r="H284" s="387"/>
      <c r="I284" s="387"/>
      <c r="J284" s="14"/>
      <c r="K284" s="14"/>
      <c r="L284" s="14"/>
      <c r="M284" s="14"/>
      <c r="N284" s="14"/>
      <c r="O284" s="381" t="s">
        <v>604</v>
      </c>
      <c r="P284" s="381"/>
      <c r="Q284" s="381"/>
      <c r="R284" s="381"/>
      <c r="S284" s="381"/>
      <c r="T284" s="381"/>
      <c r="U284" s="381"/>
      <c r="V284" s="381"/>
      <c r="W284" s="381"/>
      <c r="X284" s="381"/>
      <c r="Y284" s="381"/>
      <c r="Z284" s="383" t="s">
        <v>605</v>
      </c>
      <c r="AA284" s="383"/>
      <c r="AB284" s="383"/>
      <c r="AC284" s="383"/>
      <c r="AD284" s="383"/>
      <c r="AE284" s="383"/>
      <c r="AF284" s="383"/>
      <c r="AG284" s="383"/>
      <c r="AH284" s="383"/>
      <c r="AI284" s="151"/>
      <c r="AJ284" s="151"/>
      <c r="AK284" s="381" t="s">
        <v>606</v>
      </c>
      <c r="AL284" s="381"/>
      <c r="AM284" s="381"/>
      <c r="AN284" s="381"/>
      <c r="AO284" s="381"/>
      <c r="AP284" s="381"/>
      <c r="AQ284" s="381"/>
      <c r="AR284" s="381"/>
      <c r="AS284" s="381"/>
      <c r="AT284" s="150"/>
      <c r="AU284" s="150"/>
      <c r="AV284" s="150"/>
      <c r="AW284" s="150"/>
      <c r="AX284" s="150"/>
      <c r="AY284" s="150"/>
      <c r="AZ284" s="150"/>
      <c r="BA284" s="380" t="s">
        <v>607</v>
      </c>
      <c r="BB284" s="380"/>
      <c r="BC284" s="380"/>
      <c r="BD284" s="380"/>
      <c r="BE284" s="380"/>
      <c r="BF284" s="380"/>
      <c r="BG284" s="380"/>
      <c r="BH284" s="380"/>
      <c r="BI284" s="380"/>
      <c r="BJ284" s="380"/>
    </row>
    <row r="285" spans="1:62" ht="23.5" x14ac:dyDescent="0.55000000000000004">
      <c r="A285" s="382" t="s">
        <v>1</v>
      </c>
      <c r="B285" s="382"/>
      <c r="C285" s="382"/>
      <c r="D285" s="382"/>
      <c r="E285" s="382"/>
      <c r="F285" s="382"/>
      <c r="G285" s="382"/>
      <c r="H285" s="382"/>
      <c r="I285" s="382"/>
      <c r="J285" s="382"/>
      <c r="K285" s="382"/>
      <c r="L285" s="382"/>
      <c r="M285" s="382"/>
      <c r="N285" s="382"/>
      <c r="O285" s="382"/>
      <c r="P285" s="382"/>
      <c r="Q285" s="382"/>
      <c r="R285" s="382"/>
      <c r="S285" s="382"/>
      <c r="T285" s="382"/>
      <c r="U285" s="382"/>
      <c r="V285" s="382"/>
      <c r="W285" s="382"/>
      <c r="X285" s="382"/>
      <c r="Y285" s="382"/>
      <c r="Z285" s="382"/>
      <c r="AA285" s="382"/>
      <c r="AB285" s="382"/>
      <c r="AC285" s="382"/>
      <c r="AD285" s="382"/>
      <c r="AE285" s="382"/>
      <c r="AF285" s="382"/>
      <c r="AG285" s="382"/>
      <c r="AH285" s="382" t="s">
        <v>1</v>
      </c>
      <c r="AI285" s="382"/>
      <c r="AJ285" s="382"/>
      <c r="AK285" s="382"/>
      <c r="AL285" s="382"/>
      <c r="AM285" s="382"/>
      <c r="AN285" s="382"/>
      <c r="AO285" s="382"/>
      <c r="AP285" s="382"/>
      <c r="AQ285" s="382"/>
      <c r="AR285" s="382"/>
      <c r="AS285" s="382"/>
      <c r="AT285" s="148"/>
      <c r="AU285" s="148"/>
      <c r="AV285" s="148"/>
      <c r="AW285" s="148"/>
      <c r="AX285" s="148"/>
      <c r="AY285" s="148"/>
      <c r="AZ285" s="148"/>
      <c r="BA285" s="382" t="s">
        <v>1</v>
      </c>
      <c r="BB285" s="382"/>
      <c r="BC285" s="382"/>
      <c r="BD285" s="382"/>
      <c r="BE285" s="382"/>
      <c r="BF285" s="382"/>
      <c r="BG285" s="382"/>
      <c r="BH285" s="382"/>
      <c r="BI285" s="382"/>
      <c r="BJ285" s="382"/>
    </row>
    <row r="286" spans="1:62" x14ac:dyDescent="0.35">
      <c r="C286" t="s">
        <v>608</v>
      </c>
      <c r="D286" t="s">
        <v>609</v>
      </c>
      <c r="E286" t="s">
        <v>610</v>
      </c>
      <c r="F286" t="s">
        <v>611</v>
      </c>
      <c r="G286" s="392" t="s">
        <v>612</v>
      </c>
      <c r="H286" s="392"/>
      <c r="I286" s="392"/>
    </row>
    <row r="287" spans="1:62" x14ac:dyDescent="0.35">
      <c r="G287" t="s">
        <v>613</v>
      </c>
      <c r="H287" t="s">
        <v>614</v>
      </c>
      <c r="I287" t="s">
        <v>222</v>
      </c>
    </row>
    <row r="288" spans="1:62" x14ac:dyDescent="0.35">
      <c r="A288" t="s">
        <v>518</v>
      </c>
      <c r="B288" t="s">
        <v>519</v>
      </c>
      <c r="G288" t="s">
        <v>615</v>
      </c>
    </row>
    <row r="289" spans="1:62" x14ac:dyDescent="0.35">
      <c r="A289" t="s">
        <v>529</v>
      </c>
      <c r="B289" t="s">
        <v>530</v>
      </c>
      <c r="E289">
        <v>1</v>
      </c>
      <c r="F289">
        <v>1200</v>
      </c>
      <c r="G289">
        <f>F289*0.188</f>
        <v>225.6</v>
      </c>
      <c r="H289">
        <v>20.3</v>
      </c>
      <c r="I289">
        <f>H289*0.7</f>
        <v>14.209999999999999</v>
      </c>
    </row>
    <row r="290" spans="1:62" x14ac:dyDescent="0.35">
      <c r="A290" t="s">
        <v>529</v>
      </c>
      <c r="B290" t="s">
        <v>548</v>
      </c>
      <c r="E290">
        <v>1</v>
      </c>
      <c r="F290">
        <v>1200</v>
      </c>
      <c r="G290">
        <f t="shared" ref="G290:G299" si="2">F290*0.188</f>
        <v>225.6</v>
      </c>
      <c r="H290">
        <v>20.3</v>
      </c>
      <c r="I290">
        <f t="shared" ref="I290:I299" si="3">H290*0.7</f>
        <v>14.209999999999999</v>
      </c>
    </row>
    <row r="291" spans="1:62" x14ac:dyDescent="0.35">
      <c r="A291" t="s">
        <v>529</v>
      </c>
      <c r="B291" t="s">
        <v>560</v>
      </c>
      <c r="E291">
        <v>1</v>
      </c>
      <c r="F291">
        <v>1200</v>
      </c>
      <c r="G291">
        <f t="shared" si="2"/>
        <v>225.6</v>
      </c>
      <c r="H291">
        <v>20.3</v>
      </c>
      <c r="I291">
        <f t="shared" si="3"/>
        <v>14.209999999999999</v>
      </c>
    </row>
    <row r="292" spans="1:62" x14ac:dyDescent="0.35">
      <c r="A292" t="s">
        <v>573</v>
      </c>
      <c r="B292" t="s">
        <v>616</v>
      </c>
      <c r="C292">
        <v>2.66</v>
      </c>
      <c r="D292">
        <f>119.9-32</f>
        <v>87.9</v>
      </c>
      <c r="E292">
        <v>2.9</v>
      </c>
      <c r="F292">
        <f>D292*C292*E292</f>
        <v>678.06060000000002</v>
      </c>
      <c r="G292">
        <f t="shared" si="2"/>
        <v>127.47539280000001</v>
      </c>
      <c r="H292">
        <f>E292*E$71</f>
        <v>10.672000000000001</v>
      </c>
      <c r="I292">
        <f t="shared" si="3"/>
        <v>7.4703999999999997</v>
      </c>
    </row>
    <row r="293" spans="1:62" x14ac:dyDescent="0.35">
      <c r="A293" t="s">
        <v>573</v>
      </c>
      <c r="B293" t="s">
        <v>530</v>
      </c>
      <c r="C293">
        <v>2.76</v>
      </c>
      <c r="D293">
        <f t="shared" ref="D293:D296" si="4">119.9-32</f>
        <v>87.9</v>
      </c>
      <c r="E293">
        <v>2.9</v>
      </c>
      <c r="F293">
        <f>D293*C293*E293</f>
        <v>703.55159999999989</v>
      </c>
      <c r="G293">
        <f t="shared" si="2"/>
        <v>132.26770079999997</v>
      </c>
      <c r="H293">
        <f>E293*E$71</f>
        <v>10.672000000000001</v>
      </c>
      <c r="I293">
        <f t="shared" si="3"/>
        <v>7.4703999999999997</v>
      </c>
    </row>
    <row r="294" spans="1:62" x14ac:dyDescent="0.35">
      <c r="A294" t="s">
        <v>573</v>
      </c>
      <c r="B294" t="s">
        <v>617</v>
      </c>
      <c r="E294">
        <v>2.9</v>
      </c>
      <c r="F294">
        <f>E12*E294</f>
        <v>765.6</v>
      </c>
      <c r="G294">
        <f t="shared" si="2"/>
        <v>143.93280000000001</v>
      </c>
    </row>
    <row r="295" spans="1:62" x14ac:dyDescent="0.35">
      <c r="A295" t="s">
        <v>573</v>
      </c>
      <c r="B295" t="s">
        <v>548</v>
      </c>
      <c r="C295">
        <v>2.76</v>
      </c>
      <c r="D295">
        <f t="shared" si="4"/>
        <v>87.9</v>
      </c>
      <c r="E295">
        <v>2.9</v>
      </c>
      <c r="F295">
        <f t="shared" ref="F295:F299" si="5">D295*C295*E295</f>
        <v>703.55159999999989</v>
      </c>
      <c r="G295">
        <f t="shared" si="2"/>
        <v>132.26770079999997</v>
      </c>
      <c r="H295">
        <f>E295*E$71</f>
        <v>10.672000000000001</v>
      </c>
      <c r="I295">
        <f t="shared" si="3"/>
        <v>7.4703999999999997</v>
      </c>
    </row>
    <row r="296" spans="1:62" x14ac:dyDescent="0.35">
      <c r="A296" t="s">
        <v>573</v>
      </c>
      <c r="B296" t="s">
        <v>560</v>
      </c>
      <c r="C296">
        <v>2.76</v>
      </c>
      <c r="D296">
        <f t="shared" si="4"/>
        <v>87.9</v>
      </c>
      <c r="E296">
        <v>2.9</v>
      </c>
      <c r="F296">
        <f t="shared" si="5"/>
        <v>703.55159999999989</v>
      </c>
      <c r="G296">
        <f t="shared" si="2"/>
        <v>132.26770079999997</v>
      </c>
      <c r="H296">
        <f>E296*E$71</f>
        <v>10.672000000000001</v>
      </c>
      <c r="I296">
        <f t="shared" si="3"/>
        <v>7.4703999999999997</v>
      </c>
    </row>
    <row r="297" spans="1:62" x14ac:dyDescent="0.35">
      <c r="A297" t="s">
        <v>101</v>
      </c>
      <c r="B297" t="s">
        <v>530</v>
      </c>
      <c r="C297">
        <v>1.69</v>
      </c>
      <c r="D297">
        <f>32-8</f>
        <v>24</v>
      </c>
      <c r="E297">
        <v>6.5</v>
      </c>
      <c r="F297">
        <f t="shared" si="5"/>
        <v>263.64</v>
      </c>
      <c r="G297">
        <f t="shared" si="2"/>
        <v>49.564319999999995</v>
      </c>
      <c r="H297">
        <f>E297*E$72</f>
        <v>3.5750000000000002</v>
      </c>
      <c r="I297">
        <f t="shared" si="3"/>
        <v>2.5024999999999999</v>
      </c>
    </row>
    <row r="298" spans="1:62" x14ac:dyDescent="0.35">
      <c r="A298" t="s">
        <v>101</v>
      </c>
      <c r="B298" t="s">
        <v>548</v>
      </c>
      <c r="C298">
        <v>1.69</v>
      </c>
      <c r="D298">
        <f t="shared" ref="D298:D299" si="6">32-8</f>
        <v>24</v>
      </c>
      <c r="E298">
        <v>6.5</v>
      </c>
      <c r="F298">
        <f t="shared" si="5"/>
        <v>263.64</v>
      </c>
      <c r="G298">
        <f t="shared" si="2"/>
        <v>49.564319999999995</v>
      </c>
      <c r="H298">
        <f>E298*E$72</f>
        <v>3.5750000000000002</v>
      </c>
      <c r="I298">
        <f t="shared" si="3"/>
        <v>2.5024999999999999</v>
      </c>
    </row>
    <row r="299" spans="1:62" x14ac:dyDescent="0.35">
      <c r="A299" t="s">
        <v>101</v>
      </c>
      <c r="B299" t="s">
        <v>560</v>
      </c>
      <c r="C299">
        <v>1.69</v>
      </c>
      <c r="D299">
        <f t="shared" si="6"/>
        <v>24</v>
      </c>
      <c r="E299">
        <v>6.5</v>
      </c>
      <c r="F299">
        <f t="shared" si="5"/>
        <v>263.64</v>
      </c>
      <c r="G299">
        <f t="shared" si="2"/>
        <v>49.564319999999995</v>
      </c>
      <c r="H299">
        <f>E299*E$72</f>
        <v>3.5750000000000002</v>
      </c>
      <c r="I299">
        <f t="shared" si="3"/>
        <v>2.5024999999999999</v>
      </c>
    </row>
    <row r="300" spans="1:62" ht="23.5" x14ac:dyDescent="0.55000000000000004">
      <c r="A300" s="391" t="s">
        <v>16</v>
      </c>
      <c r="B300" s="391"/>
      <c r="C300" s="391"/>
      <c r="D300" s="391"/>
      <c r="E300" s="391"/>
      <c r="F300" s="391"/>
      <c r="G300" s="391"/>
      <c r="H300" s="391"/>
      <c r="I300" s="391"/>
      <c r="J300" s="391"/>
      <c r="K300" s="391"/>
      <c r="L300" s="391"/>
      <c r="M300" s="391"/>
      <c r="N300" s="391"/>
      <c r="O300" s="391"/>
      <c r="P300" s="391"/>
      <c r="Q300" s="391"/>
      <c r="R300" s="391"/>
      <c r="S300" s="391"/>
      <c r="T300" s="391"/>
      <c r="U300" s="391"/>
      <c r="V300" s="391"/>
      <c r="W300" s="391"/>
      <c r="X300" s="391"/>
      <c r="Y300" s="391"/>
      <c r="Z300" s="391"/>
      <c r="AA300" s="391"/>
      <c r="AB300" s="391"/>
      <c r="AC300" s="382"/>
      <c r="AD300" s="382"/>
      <c r="AE300" s="382"/>
      <c r="AF300" s="382"/>
      <c r="AG300" s="382"/>
      <c r="AH300" s="382"/>
      <c r="AI300" s="382"/>
      <c r="AJ300" s="382"/>
      <c r="AK300" s="382"/>
      <c r="AL300" s="382"/>
      <c r="AM300" s="382"/>
      <c r="AN300" s="382"/>
      <c r="AO300" s="382"/>
      <c r="AP300" s="382"/>
      <c r="AQ300" s="382"/>
      <c r="AR300" s="382"/>
      <c r="AS300" s="382"/>
      <c r="AT300" s="382"/>
      <c r="AU300" s="382"/>
      <c r="AV300" s="382"/>
      <c r="AW300" s="382"/>
      <c r="AX300" s="382"/>
      <c r="AY300" s="382"/>
      <c r="AZ300" s="382"/>
      <c r="BA300" s="382"/>
      <c r="BB300" s="382"/>
      <c r="BC300" s="382"/>
      <c r="BD300" s="382"/>
      <c r="BE300" s="382"/>
      <c r="BF300" s="382"/>
      <c r="BG300" s="382"/>
      <c r="BH300" s="382"/>
      <c r="BI300" s="382"/>
      <c r="BJ300" s="382"/>
    </row>
    <row r="301" spans="1:62" x14ac:dyDescent="0.35">
      <c r="A301" t="s">
        <v>618</v>
      </c>
      <c r="F301" t="s">
        <v>618</v>
      </c>
      <c r="G301" s="392" t="s">
        <v>612</v>
      </c>
      <c r="H301" s="392"/>
      <c r="I301" s="392"/>
    </row>
    <row r="302" spans="1:62" x14ac:dyDescent="0.35">
      <c r="G302" t="s">
        <v>619</v>
      </c>
    </row>
    <row r="303" spans="1:62" x14ac:dyDescent="0.35">
      <c r="A303" t="s">
        <v>598</v>
      </c>
      <c r="F303" t="s">
        <v>598</v>
      </c>
    </row>
    <row r="304" spans="1:62" x14ac:dyDescent="0.35">
      <c r="A304" t="s">
        <v>599</v>
      </c>
      <c r="F304" t="s">
        <v>599</v>
      </c>
    </row>
    <row r="305" spans="1:62" x14ac:dyDescent="0.35">
      <c r="A305" t="s">
        <v>600</v>
      </c>
      <c r="F305" t="s">
        <v>600</v>
      </c>
    </row>
    <row r="306" spans="1:62" x14ac:dyDescent="0.35">
      <c r="A306" t="s">
        <v>601</v>
      </c>
      <c r="F306" t="s">
        <v>601</v>
      </c>
    </row>
    <row r="307" spans="1:62" ht="23.5" x14ac:dyDescent="0.55000000000000004">
      <c r="A307" s="386" t="s">
        <v>17</v>
      </c>
      <c r="B307" s="386"/>
      <c r="C307" s="386"/>
      <c r="D307" s="386"/>
      <c r="E307" s="386"/>
      <c r="F307" s="386"/>
      <c r="G307" s="386"/>
      <c r="H307" s="386"/>
      <c r="I307" s="386"/>
      <c r="J307" s="386"/>
      <c r="K307" s="386"/>
      <c r="L307" s="386"/>
      <c r="M307" s="386"/>
      <c r="N307" s="386"/>
      <c r="O307" s="386"/>
      <c r="P307" s="386"/>
      <c r="Q307" s="386"/>
      <c r="R307" s="386"/>
      <c r="S307" s="386"/>
      <c r="T307" s="386"/>
      <c r="U307" s="386"/>
      <c r="V307" s="386"/>
      <c r="W307" s="386"/>
      <c r="X307" s="386"/>
      <c r="Y307" s="386"/>
      <c r="Z307" s="386"/>
      <c r="AA307" s="386"/>
      <c r="AB307" s="386"/>
      <c r="AC307" s="391"/>
      <c r="AD307" s="391"/>
      <c r="AE307" s="391"/>
      <c r="AF307" s="391"/>
      <c r="AG307" s="391"/>
      <c r="AH307" s="391"/>
      <c r="AI307" s="391"/>
      <c r="AJ307" s="391"/>
      <c r="AK307" s="391"/>
      <c r="AL307" s="391"/>
      <c r="AM307" s="391"/>
      <c r="AN307" s="391"/>
      <c r="AO307" s="391"/>
      <c r="AP307" s="391"/>
      <c r="AQ307" s="391"/>
      <c r="AR307" s="391"/>
      <c r="AS307" s="391"/>
      <c r="AT307" s="391"/>
      <c r="AU307" s="391"/>
      <c r="AV307" s="391"/>
      <c r="AW307" s="391"/>
      <c r="AX307" s="391"/>
      <c r="AY307" s="391"/>
      <c r="AZ307" s="391"/>
      <c r="BA307" s="391"/>
      <c r="BB307" s="391"/>
      <c r="BC307" s="391"/>
      <c r="BD307" s="391"/>
      <c r="BE307" s="391"/>
      <c r="BF307" s="391"/>
      <c r="BG307" s="391"/>
      <c r="BH307" s="391"/>
      <c r="BI307" s="391"/>
      <c r="BJ307" s="391"/>
    </row>
  </sheetData>
  <mergeCells count="70">
    <mergeCell ref="A285:AG285"/>
    <mergeCell ref="A300:AB300"/>
    <mergeCell ref="A307:AB307"/>
    <mergeCell ref="AC307:BD307"/>
    <mergeCell ref="BE307:BJ307"/>
    <mergeCell ref="AC300:AP300"/>
    <mergeCell ref="AQ300:BD300"/>
    <mergeCell ref="BE300:BJ300"/>
    <mergeCell ref="BA285:BJ285"/>
    <mergeCell ref="AH285:AS285"/>
    <mergeCell ref="G301:I301"/>
    <mergeCell ref="G286:I286"/>
    <mergeCell ref="A284:I284"/>
    <mergeCell ref="B2:L2"/>
    <mergeCell ref="E249:F249"/>
    <mergeCell ref="H249:I249"/>
    <mergeCell ref="J249:K249"/>
    <mergeCell ref="A247:N247"/>
    <mergeCell ref="A248:N248"/>
    <mergeCell ref="B3:C3"/>
    <mergeCell ref="C249:D249"/>
    <mergeCell ref="G5:J5"/>
    <mergeCell ref="A260:N260"/>
    <mergeCell ref="A268:N268"/>
    <mergeCell ref="A183:J183"/>
    <mergeCell ref="O284:Y284"/>
    <mergeCell ref="O248:S248"/>
    <mergeCell ref="T248:Y248"/>
    <mergeCell ref="BB260:BJ260"/>
    <mergeCell ref="AU248:AZ248"/>
    <mergeCell ref="AU249:AV249"/>
    <mergeCell ref="AW249:AX249"/>
    <mergeCell ref="O260:Y260"/>
    <mergeCell ref="Z284:AH284"/>
    <mergeCell ref="AK284:AS284"/>
    <mergeCell ref="BA284:BJ284"/>
    <mergeCell ref="O268:Y268"/>
    <mergeCell ref="Z268:AH268"/>
    <mergeCell ref="AK268:AS268"/>
    <mergeCell ref="BA268:BJ268"/>
    <mergeCell ref="Q249:R249"/>
    <mergeCell ref="Z260:AK260"/>
    <mergeCell ref="AL260:BA260"/>
    <mergeCell ref="AE249:AF249"/>
    <mergeCell ref="AG249:AH249"/>
    <mergeCell ref="AL249:AM249"/>
    <mergeCell ref="AA249:AB249"/>
    <mergeCell ref="AC249:AD249"/>
    <mergeCell ref="AI249:AJ249"/>
    <mergeCell ref="S249:T249"/>
    <mergeCell ref="U249:V249"/>
    <mergeCell ref="W249:X249"/>
    <mergeCell ref="B5:F5"/>
    <mergeCell ref="B98:F98"/>
    <mergeCell ref="O247:Y247"/>
    <mergeCell ref="AA165:AG165"/>
    <mergeCell ref="AY249:AZ249"/>
    <mergeCell ref="AT247:BJ247"/>
    <mergeCell ref="BB249:BC249"/>
    <mergeCell ref="AN175:AP175"/>
    <mergeCell ref="AN249:AO249"/>
    <mergeCell ref="AP249:AQ249"/>
    <mergeCell ref="AR249:AS249"/>
    <mergeCell ref="AK247:AS247"/>
    <mergeCell ref="AH248:AS248"/>
    <mergeCell ref="AA178:AG178"/>
    <mergeCell ref="Z247:AH247"/>
    <mergeCell ref="BA248:BK248"/>
    <mergeCell ref="BJ249:BK249"/>
    <mergeCell ref="Z248:AG248"/>
  </mergeCells>
  <phoneticPr fontId="12" type="noConversion"/>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L33"/>
  <sheetViews>
    <sheetView zoomScale="70" zoomScaleNormal="70" workbookViewId="0">
      <selection activeCell="B31" sqref="B31"/>
    </sheetView>
  </sheetViews>
  <sheetFormatPr baseColWidth="10" defaultColWidth="11.54296875" defaultRowHeight="14.5" x14ac:dyDescent="0.35"/>
  <cols>
    <col min="1" max="1" width="28.54296875" customWidth="1"/>
    <col min="2" max="2" width="22.81640625" customWidth="1"/>
    <col min="3" max="3" width="52.7265625" customWidth="1"/>
    <col min="4" max="4" width="33.26953125" customWidth="1"/>
    <col min="5" max="6" width="35.54296875" customWidth="1"/>
    <col min="7" max="7" width="83.26953125" customWidth="1"/>
    <col min="8" max="8" width="17.7265625" customWidth="1"/>
    <col min="9" max="9" width="44.7265625" customWidth="1"/>
    <col min="10" max="10" width="46.1796875" customWidth="1"/>
    <col min="11" max="11" width="34.26953125" customWidth="1"/>
    <col min="12" max="12" width="83.81640625" customWidth="1"/>
  </cols>
  <sheetData>
    <row r="1" spans="2:12" ht="31" x14ac:dyDescent="0.7">
      <c r="B1" s="393" t="s">
        <v>795</v>
      </c>
      <c r="C1" s="393"/>
      <c r="D1" s="393"/>
      <c r="E1" s="393"/>
      <c r="F1" s="393"/>
      <c r="G1" s="393"/>
      <c r="H1" s="393"/>
      <c r="I1" s="393"/>
      <c r="J1" s="393"/>
      <c r="K1" s="393"/>
      <c r="L1" s="393"/>
    </row>
    <row r="2" spans="2:12" x14ac:dyDescent="0.35">
      <c r="B2" s="394" t="s">
        <v>1</v>
      </c>
      <c r="C2" s="394"/>
      <c r="D2" s="394"/>
      <c r="E2" s="394"/>
      <c r="G2" s="396" t="s">
        <v>2</v>
      </c>
      <c r="H2" s="397"/>
      <c r="I2" s="397"/>
      <c r="J2" s="397"/>
      <c r="K2" s="397"/>
      <c r="L2" s="398"/>
    </row>
    <row r="3" spans="2:12" ht="43.15" customHeight="1" x14ac:dyDescent="0.35">
      <c r="B3" s="116" t="s">
        <v>796</v>
      </c>
      <c r="C3" s="116" t="s">
        <v>797</v>
      </c>
      <c r="D3" s="116" t="s">
        <v>83</v>
      </c>
      <c r="E3" s="116" t="s">
        <v>798</v>
      </c>
      <c r="G3" s="111"/>
      <c r="H3" s="111" t="s">
        <v>598</v>
      </c>
      <c r="I3" s="111" t="s">
        <v>661</v>
      </c>
      <c r="J3" s="111" t="s">
        <v>799</v>
      </c>
      <c r="K3" s="111" t="s">
        <v>800</v>
      </c>
      <c r="L3" s="111" t="s">
        <v>801</v>
      </c>
    </row>
    <row r="4" spans="2:12" x14ac:dyDescent="0.35">
      <c r="B4" s="116"/>
      <c r="C4" s="116"/>
      <c r="D4" s="116"/>
      <c r="E4" s="116"/>
      <c r="G4" s="143" t="s">
        <v>802</v>
      </c>
      <c r="H4" s="144">
        <f>H9/H8</f>
        <v>118692957.74647889</v>
      </c>
      <c r="I4" s="125"/>
      <c r="J4" s="125">
        <f>J9/J8</f>
        <v>136670.85885837156</v>
      </c>
      <c r="K4" s="125">
        <f>K9/K8</f>
        <v>3920019.53125</v>
      </c>
      <c r="L4" s="111" t="s">
        <v>803</v>
      </c>
    </row>
    <row r="5" spans="2:12" x14ac:dyDescent="0.35">
      <c r="B5" s="25">
        <v>12500000</v>
      </c>
      <c r="C5" s="25">
        <v>986000</v>
      </c>
      <c r="D5" s="116">
        <f>C11*C5</f>
        <v>29284200</v>
      </c>
      <c r="E5" s="25">
        <v>23800000</v>
      </c>
      <c r="F5" s="1"/>
      <c r="G5" s="111" t="s">
        <v>804</v>
      </c>
      <c r="H5" s="111">
        <v>36</v>
      </c>
      <c r="I5" s="111">
        <v>80</v>
      </c>
      <c r="J5" s="111">
        <v>10.7</v>
      </c>
      <c r="K5" s="111">
        <v>74.599999999999994</v>
      </c>
      <c r="L5" s="111" t="s">
        <v>805</v>
      </c>
    </row>
    <row r="6" spans="2:12" ht="16.5" x14ac:dyDescent="0.35">
      <c r="B6" s="399" t="s">
        <v>806</v>
      </c>
      <c r="C6" s="400"/>
      <c r="D6" s="399" t="s">
        <v>807</v>
      </c>
      <c r="E6" s="400"/>
      <c r="F6" s="1"/>
      <c r="G6" s="111" t="s">
        <v>808</v>
      </c>
      <c r="H6" s="111">
        <v>1500</v>
      </c>
      <c r="I6" s="111">
        <v>400</v>
      </c>
      <c r="J6" s="111">
        <v>1000</v>
      </c>
      <c r="K6" s="111">
        <v>1000</v>
      </c>
      <c r="L6" s="111" t="s">
        <v>809</v>
      </c>
    </row>
    <row r="7" spans="2:12" ht="16.5" x14ac:dyDescent="0.35">
      <c r="B7" s="116" t="s">
        <v>810</v>
      </c>
      <c r="C7" s="28">
        <f>E5/'Données environnement'!E292</f>
        <v>8206896.5517241377</v>
      </c>
      <c r="D7" s="116" t="s">
        <v>811</v>
      </c>
      <c r="E7" s="43">
        <v>19.3</v>
      </c>
      <c r="F7" s="1"/>
      <c r="G7" s="111" t="s">
        <v>812</v>
      </c>
      <c r="H7" s="111">
        <v>22</v>
      </c>
      <c r="I7" s="111">
        <v>5</v>
      </c>
      <c r="J7" s="111"/>
      <c r="K7" s="111">
        <v>15</v>
      </c>
      <c r="L7" s="111" t="s">
        <v>805</v>
      </c>
    </row>
    <row r="8" spans="2:12" x14ac:dyDescent="0.35">
      <c r="B8" s="116" t="s">
        <v>813</v>
      </c>
      <c r="C8" s="28">
        <f>D5/'Données environnement'!E297</f>
        <v>4505261.538461538</v>
      </c>
      <c r="D8" s="42" t="s">
        <v>814</v>
      </c>
      <c r="E8" s="43">
        <v>0.98499999999999999</v>
      </c>
      <c r="F8" s="1"/>
      <c r="G8" s="112" t="s">
        <v>610</v>
      </c>
      <c r="H8" s="112">
        <v>7.1</v>
      </c>
      <c r="I8" s="112">
        <v>3.7</v>
      </c>
      <c r="J8" s="112">
        <v>15.7</v>
      </c>
      <c r="K8" s="112">
        <v>3.2</v>
      </c>
      <c r="L8" s="112" t="s">
        <v>805</v>
      </c>
    </row>
    <row r="9" spans="2:12" x14ac:dyDescent="0.35">
      <c r="B9" s="116"/>
      <c r="C9" s="28"/>
      <c r="D9" s="116"/>
      <c r="E9" s="43"/>
      <c r="F9" s="1"/>
      <c r="G9" s="141"/>
      <c r="H9">
        <v>842720000</v>
      </c>
      <c r="I9" s="143">
        <f>I11/I8</f>
        <v>9104864.8648648653</v>
      </c>
      <c r="J9" s="143">
        <f>J11/J8</f>
        <v>2145732.4840764333</v>
      </c>
      <c r="K9" s="143">
        <f>K11/K8</f>
        <v>12544062.5</v>
      </c>
    </row>
    <row r="10" spans="2:12" x14ac:dyDescent="0.35">
      <c r="B10" s="116"/>
      <c r="C10" s="28"/>
      <c r="D10" s="116"/>
      <c r="E10" s="43"/>
      <c r="F10" s="1"/>
    </row>
    <row r="11" spans="2:12" x14ac:dyDescent="0.35">
      <c r="B11" s="116" t="s">
        <v>815</v>
      </c>
      <c r="C11" s="28">
        <v>29.7</v>
      </c>
      <c r="D11" s="116"/>
      <c r="E11" s="43"/>
      <c r="F11" s="1"/>
      <c r="G11" s="142" t="s">
        <v>816</v>
      </c>
      <c r="H11" s="117">
        <v>842720000</v>
      </c>
      <c r="I11" s="146">
        <v>33688000</v>
      </c>
      <c r="J11" s="146">
        <v>33688000</v>
      </c>
      <c r="K11" s="146">
        <v>40141000</v>
      </c>
    </row>
    <row r="12" spans="2:12" x14ac:dyDescent="0.35">
      <c r="B12" s="116" t="s">
        <v>817</v>
      </c>
      <c r="C12" s="28">
        <v>20.399999999999999</v>
      </c>
      <c r="D12" s="116"/>
      <c r="E12" s="43"/>
      <c r="G12" s="142" t="s">
        <v>818</v>
      </c>
      <c r="H12">
        <v>1</v>
      </c>
      <c r="I12">
        <v>2</v>
      </c>
      <c r="J12">
        <v>7</v>
      </c>
      <c r="K12">
        <v>2</v>
      </c>
    </row>
    <row r="13" spans="2:12" ht="28.9" customHeight="1" x14ac:dyDescent="0.35">
      <c r="B13" s="116" t="s">
        <v>819</v>
      </c>
      <c r="C13" s="28">
        <v>22</v>
      </c>
      <c r="D13" s="116"/>
      <c r="E13" s="43"/>
    </row>
    <row r="14" spans="2:12" x14ac:dyDescent="0.35">
      <c r="B14" s="116" t="s">
        <v>820</v>
      </c>
      <c r="C14" s="28">
        <f>C12/'Données environnement'!E292</f>
        <v>7.0344827586206895</v>
      </c>
      <c r="D14" s="116"/>
      <c r="E14" s="43"/>
    </row>
    <row r="15" spans="2:12" x14ac:dyDescent="0.35">
      <c r="B15" s="116" t="s">
        <v>821</v>
      </c>
      <c r="C15" s="28">
        <f>C13/'Données environnement'!E297</f>
        <v>3.3846153846153846</v>
      </c>
      <c r="D15" s="116"/>
      <c r="E15" s="43"/>
    </row>
    <row r="17" spans="1:9" ht="23.5" x14ac:dyDescent="0.55000000000000004">
      <c r="A17" s="395" t="s">
        <v>822</v>
      </c>
      <c r="B17" s="395"/>
    </row>
    <row r="18" spans="1:9" x14ac:dyDescent="0.35">
      <c r="A18" s="116" t="s">
        <v>823</v>
      </c>
      <c r="B18" s="145">
        <v>1023</v>
      </c>
    </row>
    <row r="19" spans="1:9" x14ac:dyDescent="0.35">
      <c r="A19" s="116" t="s">
        <v>824</v>
      </c>
      <c r="B19" s="145">
        <v>10.54</v>
      </c>
    </row>
    <row r="20" spans="1:9" x14ac:dyDescent="0.35">
      <c r="A20" s="116" t="s">
        <v>825</v>
      </c>
      <c r="B20" s="145">
        <v>7780</v>
      </c>
    </row>
    <row r="21" spans="1:9" x14ac:dyDescent="0.35">
      <c r="A21" s="116" t="s">
        <v>826</v>
      </c>
      <c r="B21" s="145">
        <v>983</v>
      </c>
    </row>
    <row r="22" spans="1:9" x14ac:dyDescent="0.35">
      <c r="A22" s="116" t="s">
        <v>827</v>
      </c>
      <c r="B22" s="145">
        <v>0.46</v>
      </c>
    </row>
    <row r="23" spans="1:9" x14ac:dyDescent="0.35">
      <c r="A23" s="116" t="s">
        <v>828</v>
      </c>
      <c r="B23" s="145">
        <f>B22*B21</f>
        <v>452.18</v>
      </c>
    </row>
    <row r="24" spans="1:9" x14ac:dyDescent="0.35">
      <c r="A24" s="116" t="s">
        <v>829</v>
      </c>
      <c r="B24" s="145">
        <v>0.15</v>
      </c>
    </row>
    <row r="25" spans="1:9" x14ac:dyDescent="0.35">
      <c r="A25" s="116" t="s">
        <v>830</v>
      </c>
      <c r="B25" s="145">
        <v>0.38</v>
      </c>
    </row>
    <row r="26" spans="1:9" x14ac:dyDescent="0.35">
      <c r="A26" s="116" t="s">
        <v>831</v>
      </c>
      <c r="B26" s="145">
        <v>0.9</v>
      </c>
    </row>
    <row r="27" spans="1:9" x14ac:dyDescent="0.35">
      <c r="A27" s="116" t="s">
        <v>832</v>
      </c>
      <c r="B27" s="145">
        <v>0.86799999999999999</v>
      </c>
    </row>
    <row r="28" spans="1:9" x14ac:dyDescent="0.35">
      <c r="A28" s="26" t="s">
        <v>833</v>
      </c>
      <c r="B28" s="29">
        <v>8400</v>
      </c>
    </row>
    <row r="29" spans="1:9" x14ac:dyDescent="0.35">
      <c r="A29" s="26" t="s">
        <v>834</v>
      </c>
      <c r="B29" s="29">
        <f>'OAD coût CO2 épargné'!N43/100</f>
        <v>0.28999999999999998</v>
      </c>
    </row>
    <row r="30" spans="1:9" x14ac:dyDescent="0.35">
      <c r="A30" s="26" t="s">
        <v>835</v>
      </c>
      <c r="B30" s="29">
        <f>'OAD coût CO2 épargné'!N44/100</f>
        <v>1</v>
      </c>
    </row>
    <row r="31" spans="1:9" x14ac:dyDescent="0.35">
      <c r="A31" s="26" t="s">
        <v>836</v>
      </c>
      <c r="B31" s="29">
        <v>0.6</v>
      </c>
    </row>
    <row r="32" spans="1:9" x14ac:dyDescent="0.35">
      <c r="A32" s="26" t="s">
        <v>837</v>
      </c>
      <c r="B32" s="29"/>
    </row>
    <row r="33" spans="1:2" x14ac:dyDescent="0.35">
      <c r="A33" s="26" t="s">
        <v>838</v>
      </c>
      <c r="B33" s="29"/>
    </row>
  </sheetData>
  <mergeCells count="6">
    <mergeCell ref="B1:L1"/>
    <mergeCell ref="B2:E2"/>
    <mergeCell ref="A17:B17"/>
    <mergeCell ref="G2:L2"/>
    <mergeCell ref="B6:C6"/>
    <mergeCell ref="D6:E6"/>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AA504E649A4C6439DE3E386C0BE425F" ma:contentTypeVersion="4" ma:contentTypeDescription="Crée un document." ma:contentTypeScope="" ma:versionID="968538d6491c60edfde56cfb332a3d4a">
  <xsd:schema xmlns:xsd="http://www.w3.org/2001/XMLSchema" xmlns:xs="http://www.w3.org/2001/XMLSchema" xmlns:p="http://schemas.microsoft.com/office/2006/metadata/properties" xmlns:ns2="ef48d320-41af-4ae1-9815-2cf043415c6c" xmlns:ns3="bb4784b6-8163-4207-a51d-8709594536b5" targetNamespace="http://schemas.microsoft.com/office/2006/metadata/properties" ma:root="true" ma:fieldsID="6f2fffdc31b717e46dbee81d4f4dbc5b" ns2:_="" ns3:_="">
    <xsd:import namespace="ef48d320-41af-4ae1-9815-2cf043415c6c"/>
    <xsd:import namespace="bb4784b6-8163-4207-a51d-8709594536b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f48d320-41af-4ae1-9815-2cf043415c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b4784b6-8163-4207-a51d-8709594536b5"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3F6285-73B6-427C-9F39-73DB027184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f48d320-41af-4ae1-9815-2cf043415c6c"/>
    <ds:schemaRef ds:uri="bb4784b6-8163-4207-a51d-8709594536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C4CC32-6903-4E90-B834-134F4150149E}">
  <ds:schemaRefs>
    <ds:schemaRef ds:uri="http://schemas.microsoft.com/sharepoint/v3/contenttype/forms"/>
  </ds:schemaRefs>
</ds:datastoreItem>
</file>

<file path=customXml/itemProps3.xml><?xml version="1.0" encoding="utf-8"?>
<ds:datastoreItem xmlns:ds="http://schemas.openxmlformats.org/officeDocument/2006/customXml" ds:itemID="{997E685D-70F1-434B-9A26-B19847DFCDD0}">
  <ds:schemaRefs>
    <ds:schemaRef ds:uri="http://schemas.microsoft.com/DataMashup"/>
  </ds:schemaRefs>
</ds:datastoreItem>
</file>

<file path=customXml/itemProps4.xml><?xml version="1.0" encoding="utf-8"?>
<ds:datastoreItem xmlns:ds="http://schemas.openxmlformats.org/officeDocument/2006/customXml" ds:itemID="{25C34D4D-6835-4AC1-A453-11ACE05461A2}">
  <ds:schemaRefs>
    <ds:schemaRef ds:uri="http://schemas.microsoft.com/office/2006/documentManagement/types"/>
    <ds:schemaRef ds:uri="http://purl.org/dc/elements/1.1/"/>
    <ds:schemaRef ds:uri="http://www.w3.org/XML/1998/namespace"/>
    <ds:schemaRef ds:uri="http://purl.org/dc/terms/"/>
    <ds:schemaRef ds:uri="http://schemas.openxmlformats.org/package/2006/metadata/core-properties"/>
    <ds:schemaRef ds:uri="ef48d320-41af-4ae1-9815-2cf043415c6c"/>
    <ds:schemaRef ds:uri="http://schemas.microsoft.com/office/infopath/2007/PartnerControls"/>
    <ds:schemaRef ds:uri="bb4784b6-8163-4207-a51d-8709594536b5"/>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OAD coût CO2 épargné</vt:lpstr>
      <vt:lpstr>Calcul simpl volaille</vt:lpstr>
      <vt:lpstr>Calcul simpl bovin</vt:lpstr>
      <vt:lpstr> Calcul simpl porc</vt:lpstr>
      <vt:lpstr>Données environnement</vt:lpstr>
      <vt:lpstr>Données Production </vt:lpstr>
      <vt:lpstr>B0</vt:lpstr>
      <vt:lpstr>Fosse_non_couvertePré_stockage_lisier_sous_caillebotis</vt:lpstr>
      <vt:lpstr>Pré_stockage_lisier_sous_caillebotis</vt:lpstr>
      <vt:lpstr>Raclage_à_plat_quotidien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Nicolas Queral</dc:creator>
  <cp:keywords/>
  <dc:description/>
  <cp:lastModifiedBy>Pascal Levasseur</cp:lastModifiedBy>
  <cp:revision/>
  <dcterms:created xsi:type="dcterms:W3CDTF">2015-06-05T18:19:34Z</dcterms:created>
  <dcterms:modified xsi:type="dcterms:W3CDTF">2022-09-30T13:03:30Z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0x0101002AA504E649A4C6439DE3E386C0BE425F</vt:lpwstr>
  </property>
</Properties>
</file>